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immons\AppData\Local\Microsoft\Windows\INetCache\Content.Outlook\IGI4ERZO\"/>
    </mc:Choice>
  </mc:AlternateContent>
  <xr:revisionPtr revIDLastSave="0" documentId="13_ncr:1_{0A826EFF-1A4D-44CA-B997-F16FF5E0BE4F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Input'!$A$1:$I$59</definedName>
    <definedName name="_xlnm.Print_Area" localSheetId="2">'Financial Input'!$A$1:$N$64</definedName>
    <definedName name="_xlnm.Print_Area" localSheetId="0">Summary!$B$1:$BA$36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2" i="4" l="1"/>
  <c r="AZ32" i="4"/>
  <c r="AX32" i="4"/>
  <c r="AW32" i="4"/>
  <c r="BA31" i="4"/>
  <c r="BA33" i="4" s="1"/>
  <c r="AZ31" i="4"/>
  <c r="BA30" i="4"/>
  <c r="AZ30" i="4"/>
  <c r="AZ33" i="4"/>
  <c r="AZ34" i="4" l="1"/>
  <c r="H33" i="3" l="1"/>
  <c r="G33" i="3"/>
  <c r="F33" i="3"/>
  <c r="K11" i="5"/>
  <c r="K15" i="5"/>
  <c r="D33" i="3"/>
  <c r="C33" i="3"/>
  <c r="B33" i="3"/>
  <c r="H55" i="3"/>
  <c r="F31" i="3" l="1"/>
  <c r="G32" i="3"/>
  <c r="B107" i="4" s="1"/>
  <c r="AX31" i="4" s="1"/>
  <c r="F32" i="3"/>
  <c r="B87" i="4" s="1"/>
  <c r="AX30" i="4" s="1"/>
  <c r="AX33" i="4" s="1"/>
  <c r="C32" i="3"/>
  <c r="C107" i="4" s="1"/>
  <c r="AW31" i="4" s="1"/>
  <c r="B32" i="3"/>
  <c r="C87" i="4" s="1"/>
  <c r="AW30" i="4" s="1"/>
  <c r="AW33" i="4" s="1"/>
  <c r="B126" i="4"/>
  <c r="C126" i="4"/>
  <c r="B127" i="4"/>
  <c r="C127" i="4"/>
  <c r="D127" i="4" s="1"/>
  <c r="B128" i="4"/>
  <c r="C128" i="4"/>
  <c r="B108" i="4"/>
  <c r="C108" i="4"/>
  <c r="C88" i="4"/>
  <c r="B86" i="4"/>
  <c r="AU30" i="4" s="1"/>
  <c r="B88" i="4"/>
  <c r="G31" i="3"/>
  <c r="B106" i="4" s="1"/>
  <c r="C31" i="3"/>
  <c r="C106" i="4" s="1"/>
  <c r="AT31" i="4" s="1"/>
  <c r="B31" i="3"/>
  <c r="C86" i="4" s="1"/>
  <c r="AT30" i="4" s="1"/>
  <c r="C68" i="4"/>
  <c r="C66" i="4"/>
  <c r="C67" i="4"/>
  <c r="B66" i="4"/>
  <c r="B67" i="4"/>
  <c r="B68" i="4"/>
  <c r="H56" i="3"/>
  <c r="H57" i="3"/>
  <c r="H54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0" i="3"/>
  <c r="AT32" i="4"/>
  <c r="H30" i="3"/>
  <c r="B125" i="4" s="1"/>
  <c r="AR32" i="4" s="1"/>
  <c r="D30" i="3"/>
  <c r="C125" i="4" s="1"/>
  <c r="AQ32" i="4" s="1"/>
  <c r="C30" i="3"/>
  <c r="C105" i="4" s="1"/>
  <c r="AQ31" i="4" s="1"/>
  <c r="G18" i="3"/>
  <c r="G30" i="3"/>
  <c r="B105" i="4" s="1"/>
  <c r="AR31" i="4" s="1"/>
  <c r="F30" i="3"/>
  <c r="B85" i="4" s="1"/>
  <c r="AR30" i="4" s="1"/>
  <c r="B30" i="3"/>
  <c r="C85" i="4" s="1"/>
  <c r="AQ30" i="4" s="1"/>
  <c r="B124" i="4"/>
  <c r="C124" i="4"/>
  <c r="B65" i="4"/>
  <c r="C65" i="4"/>
  <c r="AW34" i="4" l="1"/>
  <c r="D88" i="4"/>
  <c r="D108" i="4"/>
  <c r="D128" i="4"/>
  <c r="D67" i="4"/>
  <c r="D87" i="4"/>
  <c r="D107" i="4"/>
  <c r="D68" i="4"/>
  <c r="D106" i="4"/>
  <c r="D126" i="4"/>
  <c r="D66" i="4"/>
  <c r="D86" i="4"/>
  <c r="AU32" i="4"/>
  <c r="AU31" i="4"/>
  <c r="AT33" i="4"/>
  <c r="D65" i="4"/>
  <c r="AQ33" i="4"/>
  <c r="D125" i="4"/>
  <c r="D124" i="4"/>
  <c r="D105" i="4"/>
  <c r="D85" i="4"/>
  <c r="AO32" i="4"/>
  <c r="AN32" i="4"/>
  <c r="AU33" i="4" l="1"/>
  <c r="AT34" i="4" s="1"/>
  <c r="G29" i="3"/>
  <c r="F29" i="3"/>
  <c r="C29" i="3"/>
  <c r="B29" i="3"/>
  <c r="B123" i="4" l="1"/>
  <c r="C123" i="4"/>
  <c r="AK32" i="4" s="1"/>
  <c r="B104" i="4"/>
  <c r="AO31" i="4" s="1"/>
  <c r="C104" i="4"/>
  <c r="AN31" i="4" s="1"/>
  <c r="B84" i="4"/>
  <c r="AO30" i="4" s="1"/>
  <c r="C84" i="4"/>
  <c r="AN30" i="4" s="1"/>
  <c r="B63" i="4"/>
  <c r="C63" i="4"/>
  <c r="B64" i="4"/>
  <c r="C64" i="4"/>
  <c r="C62" i="4"/>
  <c r="B62" i="4"/>
  <c r="C28" i="3"/>
  <c r="C103" i="4" s="1"/>
  <c r="AK31" i="4" s="1"/>
  <c r="B28" i="3"/>
  <c r="C83" i="4" s="1"/>
  <c r="AK30" i="4" s="1"/>
  <c r="G28" i="3"/>
  <c r="B103" i="4" s="1"/>
  <c r="AL31" i="4" s="1"/>
  <c r="F28" i="3"/>
  <c r="B83" i="4" s="1"/>
  <c r="AL30" i="4" s="1"/>
  <c r="H27" i="3"/>
  <c r="B122" i="4" s="1"/>
  <c r="AI32" i="4" s="1"/>
  <c r="G27" i="3"/>
  <c r="B102" i="4" s="1"/>
  <c r="F27" i="3"/>
  <c r="B82" i="4" s="1"/>
  <c r="D27" i="3"/>
  <c r="C122" i="4" s="1"/>
  <c r="C27" i="3"/>
  <c r="C102" i="4" s="1"/>
  <c r="B27" i="3"/>
  <c r="C82" i="4" s="1"/>
  <c r="AN33" i="4" l="1"/>
  <c r="D123" i="4"/>
  <c r="AO33" i="4"/>
  <c r="D103" i="4"/>
  <c r="AK33" i="4"/>
  <c r="AL32" i="4"/>
  <c r="AL33" i="4" s="1"/>
  <c r="AK34" i="4" s="1"/>
  <c r="D84" i="4"/>
  <c r="AR33" i="4" s="1"/>
  <c r="AQ34" i="4" s="1"/>
  <c r="D104" i="4"/>
  <c r="D64" i="4"/>
  <c r="D83" i="4"/>
  <c r="D63" i="4"/>
  <c r="D62" i="4"/>
  <c r="C26" i="3"/>
  <c r="B26" i="3"/>
  <c r="G26" i="3"/>
  <c r="F26" i="3"/>
  <c r="AN34" i="4" l="1"/>
  <c r="C25" i="3"/>
  <c r="B25" i="3"/>
  <c r="G25" i="3"/>
  <c r="F25" i="3"/>
  <c r="B120" i="4" l="1"/>
  <c r="C120" i="4"/>
  <c r="B121" i="4"/>
  <c r="C121" i="4"/>
  <c r="B100" i="4"/>
  <c r="C100" i="4"/>
  <c r="B101" i="4"/>
  <c r="C101" i="4"/>
  <c r="B80" i="4"/>
  <c r="C80" i="4"/>
  <c r="B81" i="4"/>
  <c r="C81" i="4"/>
  <c r="B60" i="4"/>
  <c r="C60" i="4"/>
  <c r="B61" i="4"/>
  <c r="C61" i="4"/>
  <c r="D121" i="4" l="1"/>
  <c r="D61" i="4"/>
  <c r="D120" i="4"/>
  <c r="D81" i="4"/>
  <c r="D80" i="4"/>
  <c r="D122" i="4"/>
  <c r="D60" i="4"/>
  <c r="D82" i="4"/>
  <c r="D102" i="4"/>
  <c r="D101" i="4"/>
  <c r="D100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14" i="4"/>
  <c r="C115" i="4"/>
  <c r="C117" i="4"/>
  <c r="C118" i="4"/>
  <c r="B114" i="4"/>
  <c r="B115" i="4"/>
  <c r="B117" i="4"/>
  <c r="B118" i="4"/>
  <c r="C58" i="4"/>
  <c r="C59" i="4"/>
  <c r="B58" i="4"/>
  <c r="B59" i="4"/>
  <c r="D114" i="4" l="1"/>
  <c r="AH34" i="4"/>
  <c r="D59" i="4"/>
  <c r="D117" i="4"/>
  <c r="AE34" i="4"/>
  <c r="AB34" i="4"/>
  <c r="D118" i="4"/>
  <c r="D115" i="4"/>
  <c r="D58" i="4"/>
  <c r="D24" i="3"/>
  <c r="C119" i="4" s="1"/>
  <c r="Y32" i="4" s="1"/>
  <c r="H24" i="3"/>
  <c r="B119" i="4" s="1"/>
  <c r="Z32" i="4" s="1"/>
  <c r="C24" i="3"/>
  <c r="C99" i="4" s="1"/>
  <c r="Y31" i="4" s="1"/>
  <c r="B24" i="3"/>
  <c r="C79" i="4" s="1"/>
  <c r="Y30" i="4" s="1"/>
  <c r="G24" i="3"/>
  <c r="B99" i="4" s="1"/>
  <c r="F24" i="3"/>
  <c r="B79" i="4" s="1"/>
  <c r="D79" i="4" l="1"/>
  <c r="Z30" i="4"/>
  <c r="D99" i="4"/>
  <c r="Z31" i="4"/>
  <c r="Y33" i="4"/>
  <c r="D119" i="4"/>
  <c r="G23" i="3"/>
  <c r="B98" i="4" s="1"/>
  <c r="F23" i="3"/>
  <c r="B78" i="4" s="1"/>
  <c r="C23" i="3"/>
  <c r="C98" i="4" s="1"/>
  <c r="B23" i="3"/>
  <c r="C78" i="4" s="1"/>
  <c r="Z33" i="4" l="1"/>
  <c r="Y34" i="4" s="1"/>
  <c r="D98" i="4"/>
  <c r="M11" i="5"/>
  <c r="M19" i="5"/>
  <c r="M23" i="5"/>
  <c r="M15" i="5"/>
  <c r="G22" i="3" l="1"/>
  <c r="F22" i="3"/>
  <c r="H21" i="3" l="1"/>
  <c r="B116" i="4" s="1"/>
  <c r="G21" i="3"/>
  <c r="F21" i="3"/>
  <c r="F20" i="3" l="1"/>
  <c r="G20" i="3"/>
  <c r="C18" i="3" l="1"/>
  <c r="D18" i="3"/>
  <c r="C113" i="4" s="1"/>
  <c r="C21" i="3"/>
  <c r="D21" i="3"/>
  <c r="C116" i="4" s="1"/>
  <c r="D116" i="4" s="1"/>
  <c r="G19" i="3"/>
  <c r="H18" i="3"/>
  <c r="B113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37" i="3" l="1"/>
  <c r="B13" i="3"/>
  <c r="A50" i="4"/>
  <c r="C112" i="4"/>
  <c r="B112" i="4"/>
  <c r="B53" i="4"/>
  <c r="C53" i="4"/>
  <c r="B54" i="4"/>
  <c r="C54" i="4"/>
  <c r="B55" i="4"/>
  <c r="C55" i="4"/>
  <c r="B56" i="4"/>
  <c r="C56" i="4"/>
  <c r="B57" i="4"/>
  <c r="C57" i="4"/>
  <c r="C52" i="4"/>
  <c r="B52" i="4"/>
  <c r="B73" i="4"/>
  <c r="C73" i="4"/>
  <c r="B74" i="4"/>
  <c r="C74" i="4"/>
  <c r="B75" i="4"/>
  <c r="C75" i="4"/>
  <c r="B76" i="4"/>
  <c r="C76" i="4"/>
  <c r="B77" i="4"/>
  <c r="C77" i="4"/>
  <c r="C72" i="4"/>
  <c r="B72" i="4"/>
  <c r="C93" i="4"/>
  <c r="C94" i="4"/>
  <c r="C95" i="4"/>
  <c r="C96" i="4"/>
  <c r="C97" i="4"/>
  <c r="C92" i="4"/>
  <c r="B93" i="4"/>
  <c r="B94" i="4"/>
  <c r="B95" i="4"/>
  <c r="B96" i="4"/>
  <c r="B97" i="4"/>
  <c r="B92" i="4"/>
  <c r="A5" i="3"/>
  <c r="B33" i="4" l="1"/>
  <c r="A110" i="4" l="1"/>
  <c r="B32" i="4" s="1"/>
  <c r="A90" i="4"/>
  <c r="B31" i="4" s="1"/>
  <c r="A70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76" i="4"/>
  <c r="D92" i="4"/>
  <c r="D113" i="4"/>
  <c r="D112" i="4"/>
  <c r="D95" i="4"/>
  <c r="D72" i="4"/>
  <c r="D94" i="4"/>
  <c r="D97" i="4"/>
  <c r="D93" i="4"/>
  <c r="D96" i="4"/>
  <c r="D75" i="4"/>
  <c r="D78" i="4"/>
  <c r="D74" i="4"/>
  <c r="D77" i="4"/>
  <c r="D73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<sst xmlns="http://schemas.openxmlformats.org/spreadsheetml/2006/main" count="136" uniqueCount="60">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</sst>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0" fillId="7" borderId="0" xfId="0" applyFill="1" applyBorder="1"/>
    <xf numFmtId="0" fontId="6" fillId="0" borderId="0" xfId="0" applyFont="1" applyFill="1" applyBorder="1" applyAlignment="1">
      <alignment horizontal="center" vertical="top"/>
    </xf>
    <xf numFmtId="169" fontId="2" fillId="4" borderId="8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Summary!$A$52:$A$68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Summary!$C$52:$C$68</c:f>
              <c:numCache>
                <c:formatCode>_(* #,##0.00_);_(* \(#,##0.00\);_(* "-"??_);_(@_)</c:formatCode>
                <c:ptCount val="17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Summary!$A$52:$A$68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Summary!$B$52:$B$68</c:f>
              <c:numCache>
                <c:formatCode>_(* #,##0.00_);_(* \(#,##0.00\);_(* "-"??_);_(@_)</c:formatCode>
                <c:ptCount val="17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Input'!$H$39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Summary!$A$52:$A$68</c15:sqref>
                        </c15:formulaRef>
                      </c:ext>
                    </c:extLst>
                    <c:strCache>
                      <c:ptCount val="17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Input'!$H$40:$H$57</c15:sqref>
                        </c15:formulaRef>
                      </c:ext>
                    </c:extLst>
                    <c:numCache>
                      <c:formatCode>0%</c:formatCode>
                      <c:ptCount val="1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Summary!$A$70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Summary!$A$72:$A$88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Summary!$C$72:$C$88</c:f>
              <c:numCache>
                <c:formatCode>_(* #,##0_);_(* \(#,##0\);_(* "-"??_);_(@_)</c:formatCode>
                <c:ptCount val="17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Summary!$A$72:$A$88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Summary!$B$72:$B$88</c:f>
              <c:numCache>
                <c:formatCode>_(* #,##0_);_(* \(#,##0\);_(* "-"??_);_(@_)</c:formatCode>
                <c:ptCount val="17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Summary!$A$92:$A$108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Summary!$C$92:$C$108</c:f>
              <c:numCache>
                <c:formatCode>_(* #,##0_);_(* \(#,##0\);_(* "-"??_);_(@_)</c:formatCode>
                <c:ptCount val="17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Summary!$A$92:$A$108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Summary!$B$92:$B$108</c:f>
              <c:numCache>
                <c:formatCode>_(* #,##0_);_(* \(#,##0\);_(* "-"??_);_(@_)</c:formatCode>
                <c:ptCount val="17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Summary!$A$110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Summary!$A$112:$A$128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Summary!$C$112:$C$128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Summary!$A$112:$A$128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Summary!$B$112:$B$128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38099</xdr:colOff>
      <xdr:row>0</xdr:row>
      <xdr:rowOff>1428749</xdr:rowOff>
    </xdr:from>
    <xdr:to>
      <xdr:col>52</xdr:col>
      <xdr:colOff>641349</xdr:colOff>
      <xdr:row>15</xdr:row>
      <xdr:rowOff>180973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-1</xdr:colOff>
      <xdr:row>16</xdr:row>
      <xdr:rowOff>14400</xdr:rowOff>
    </xdr:from>
    <xdr:to>
      <xdr:col>19</xdr:col>
      <xdr:colOff>88899</xdr:colOff>
      <xdr:row>27</xdr:row>
      <xdr:rowOff>15663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19</xdr:col>
      <xdr:colOff>38099</xdr:colOff>
      <xdr:row>15</xdr:row>
      <xdr:rowOff>97690</xdr:rowOff>
    </xdr:from>
    <xdr:to>
      <xdr:col>39</xdr:col>
      <xdr:colOff>69850</xdr:colOff>
      <xdr:row>26</xdr:row>
      <xdr:rowOff>177801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39</xdr:col>
      <xdr:colOff>31750</xdr:colOff>
      <xdr:row>15</xdr:row>
      <xdr:rowOff>178546</xdr:rowOff>
    </xdr:from>
    <xdr:to>
      <xdr:col>53</xdr:col>
      <xdr:colOff>-1</xdr:colOff>
      <xdr:row>27</xdr:row>
      <xdr:rowOff>50799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G128"/>
  <sheetViews>
    <sheetView tabSelected="1" view="pageBreakPreview" zoomScale="75" zoomScaleNormal="90" zoomScaleSheetLayoutView="75" workbookViewId="0">
      <selection activeCell="B34" sqref="B34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4" max="35" width="9.86328125" bestFit="1" customWidth="1"/>
    <col min="36" max="36" width="1" style="58" customWidth="1"/>
    <col min="37" max="38" width="9.86328125" bestFit="1" customWidth="1"/>
    <col min="39" max="39" width="1" style="58" customWidth="1"/>
    <col min="40" max="41" width="9.86328125" bestFit="1" customWidth="1"/>
    <col min="42" max="42" width="0.86328125" style="58" customWidth="1"/>
    <col min="43" max="44" width="9.86328125" bestFit="1" customWidth="1"/>
    <col min="45" max="45" width="1" style="58" customWidth="1"/>
    <col min="46" max="47" width="9.86328125" bestFit="1" customWidth="1"/>
    <col min="48" max="48" width="1" customWidth="1"/>
    <col min="49" max="50" width="9.86328125" bestFit="1" customWidth="1"/>
    <col min="51" max="51" width="1.46484375" customWidth="1"/>
  </cols>
  <sheetData>
    <row r="1" spans="1:59" ht="112.5" customHeight="1" x14ac:dyDescent="2.2000000000000002">
      <c r="A1" s="46"/>
      <c r="B1" s="69" t="s">
        <v>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10"/>
      <c r="BC1" s="10"/>
      <c r="BD1" s="10"/>
      <c r="BE1" s="10"/>
      <c r="BF1" s="10"/>
      <c r="BG1" s="10"/>
    </row>
    <row r="2" spans="1:59" s="9" customFormat="1" ht="23.25" x14ac:dyDescent="0.45">
      <c r="A2" s="29"/>
      <c r="B2" s="64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1"/>
      <c r="AZ2" s="10"/>
      <c r="BA2" s="10"/>
      <c r="BB2" s="10"/>
      <c r="BC2" s="10"/>
      <c r="BD2" s="10"/>
      <c r="BE2" s="10"/>
      <c r="BF2" s="10"/>
      <c r="BG2" s="10"/>
    </row>
    <row r="3" spans="1:59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0"/>
      <c r="BF3" s="10"/>
      <c r="BG3" s="10"/>
    </row>
    <row r="4" spans="1:59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1"/>
      <c r="AZ4" s="10"/>
      <c r="BA4" s="10"/>
      <c r="BB4" s="10"/>
      <c r="BC4" s="10"/>
      <c r="BD4" s="10"/>
      <c r="BE4" s="10"/>
      <c r="BF4" s="10"/>
      <c r="BG4" s="10"/>
    </row>
    <row r="5" spans="1:59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1"/>
      <c r="AZ5" s="10"/>
      <c r="BA5" s="10"/>
      <c r="BB5" s="10"/>
      <c r="BC5" s="10"/>
      <c r="BD5" s="10"/>
      <c r="BE5" s="10"/>
      <c r="BF5" s="10"/>
      <c r="BG5" s="10"/>
    </row>
    <row r="6" spans="1:59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</row>
    <row r="7" spans="1:59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</row>
    <row r="8" spans="1:59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</row>
    <row r="9" spans="1:59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1"/>
      <c r="AZ9" s="10"/>
      <c r="BA9" s="10"/>
      <c r="BB9" s="10"/>
      <c r="BC9" s="10"/>
      <c r="BD9" s="10"/>
      <c r="BE9" s="10"/>
      <c r="BF9" s="10"/>
      <c r="BG9" s="10"/>
    </row>
    <row r="10" spans="1:59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</row>
    <row r="11" spans="1:59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1"/>
      <c r="AZ11" s="10"/>
      <c r="BA11" s="10"/>
      <c r="BB11" s="10"/>
      <c r="BC11" s="10"/>
      <c r="BD11" s="10"/>
      <c r="BE11" s="10"/>
      <c r="BF11" s="10"/>
      <c r="BG11" s="10"/>
    </row>
    <row r="12" spans="1:59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1"/>
      <c r="AZ12" s="10"/>
      <c r="BA12" s="10"/>
      <c r="BB12" s="10"/>
      <c r="BC12" s="10"/>
      <c r="BD12" s="10"/>
      <c r="BE12" s="10"/>
      <c r="BF12" s="10"/>
      <c r="BG12" s="10"/>
    </row>
    <row r="13" spans="1:59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1"/>
      <c r="AZ13" s="10"/>
      <c r="BA13" s="10"/>
      <c r="BB13" s="10"/>
      <c r="BC13" s="10"/>
      <c r="BD13" s="10"/>
      <c r="BE13" s="10"/>
      <c r="BF13" s="10"/>
      <c r="BG13" s="10"/>
    </row>
    <row r="14" spans="1:59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1"/>
      <c r="AZ14" s="10"/>
      <c r="BA14" s="10"/>
      <c r="BB14" s="10"/>
      <c r="BC14" s="10"/>
      <c r="BD14" s="10"/>
      <c r="BE14" s="10"/>
      <c r="BF14" s="10"/>
      <c r="BG14" s="10"/>
    </row>
    <row r="15" spans="1:59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</row>
    <row r="16" spans="1:59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</row>
    <row r="17" spans="1:59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1"/>
      <c r="AZ17" s="10"/>
      <c r="BA17" s="10"/>
      <c r="BB17" s="10"/>
      <c r="BC17" s="10"/>
      <c r="BD17" s="10"/>
      <c r="BE17" s="10"/>
      <c r="BF17" s="10"/>
      <c r="BG17" s="10"/>
    </row>
    <row r="18" spans="1:59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1"/>
      <c r="AZ18" s="10"/>
      <c r="BA18" s="10"/>
      <c r="BB18" s="10"/>
      <c r="BC18" s="10"/>
      <c r="BD18" s="10"/>
      <c r="BE18" s="10"/>
      <c r="BF18" s="10"/>
      <c r="BG18" s="10"/>
    </row>
    <row r="19" spans="1:59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1"/>
      <c r="AZ19" s="10"/>
      <c r="BA19" s="10"/>
      <c r="BB19" s="10"/>
      <c r="BC19" s="10"/>
      <c r="BD19" s="10"/>
      <c r="BE19" s="10"/>
      <c r="BF19" s="10"/>
      <c r="BG19" s="10"/>
    </row>
    <row r="20" spans="1:59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1"/>
      <c r="AZ20" s="10"/>
      <c r="BA20" s="10"/>
      <c r="BB20" s="10"/>
      <c r="BC20" s="10"/>
      <c r="BD20" s="10"/>
      <c r="BE20" s="10"/>
      <c r="BF20" s="10"/>
      <c r="BG20" s="10"/>
    </row>
    <row r="21" spans="1:59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1"/>
      <c r="AZ21" s="10"/>
      <c r="BA21" s="10"/>
      <c r="BB21" s="10"/>
      <c r="BC21" s="10"/>
      <c r="BD21" s="10"/>
      <c r="BE21" s="10"/>
      <c r="BF21" s="10"/>
      <c r="BG21" s="10"/>
    </row>
    <row r="22" spans="1:59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1"/>
      <c r="AZ22" s="10"/>
      <c r="BA22" s="10"/>
      <c r="BB22" s="10"/>
      <c r="BC22" s="10"/>
      <c r="BD22" s="10"/>
      <c r="BE22" s="10"/>
      <c r="BF22" s="10"/>
      <c r="BG22" s="10"/>
    </row>
    <row r="23" spans="1:59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1"/>
      <c r="AZ23" s="10"/>
      <c r="BA23" s="10"/>
      <c r="BB23" s="10"/>
      <c r="BC23" s="10"/>
      <c r="BD23" s="10"/>
      <c r="BE23" s="10"/>
      <c r="BF23" s="10"/>
      <c r="BG23" s="10"/>
    </row>
    <row r="24" spans="1:59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1"/>
      <c r="AZ24" s="10"/>
      <c r="BA24" s="10"/>
      <c r="BB24" s="10"/>
      <c r="BC24" s="10"/>
      <c r="BD24" s="10"/>
      <c r="BE24" s="10"/>
      <c r="BF24" s="10"/>
      <c r="BG24" s="10"/>
    </row>
    <row r="25" spans="1:59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1"/>
      <c r="AZ25" s="10"/>
      <c r="BA25" s="10"/>
      <c r="BB25" s="10"/>
      <c r="BC25" s="10"/>
      <c r="BD25" s="10"/>
      <c r="BE25" s="10"/>
      <c r="BF25" s="10"/>
      <c r="BG25" s="10"/>
    </row>
    <row r="26" spans="1:59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</row>
    <row r="27" spans="1:59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</row>
    <row r="28" spans="1:59" x14ac:dyDescent="0.45">
      <c r="A28" s="28"/>
      <c r="B28" s="13" t="s">
        <v>11</v>
      </c>
      <c r="C28" s="11"/>
      <c r="D28" s="65">
        <v>43881</v>
      </c>
      <c r="E28" s="65"/>
      <c r="F28" s="48"/>
      <c r="G28" s="65">
        <v>43910</v>
      </c>
      <c r="H28" s="65"/>
      <c r="I28" s="55"/>
      <c r="J28" s="65">
        <v>43941</v>
      </c>
      <c r="K28" s="65"/>
      <c r="L28" s="55"/>
      <c r="M28" s="65">
        <v>43971</v>
      </c>
      <c r="N28" s="65"/>
      <c r="O28" s="55"/>
      <c r="P28" s="65">
        <v>44002</v>
      </c>
      <c r="Q28" s="65"/>
      <c r="R28" s="55"/>
      <c r="S28" s="65">
        <v>44032</v>
      </c>
      <c r="T28" s="65"/>
      <c r="U28" s="55"/>
      <c r="V28" s="65">
        <v>44063</v>
      </c>
      <c r="W28" s="65"/>
      <c r="X28" s="56"/>
      <c r="Y28" s="65">
        <v>44094</v>
      </c>
      <c r="Z28" s="65"/>
      <c r="AA28" s="56"/>
      <c r="AB28" s="65">
        <v>44124</v>
      </c>
      <c r="AC28" s="65"/>
      <c r="AD28" s="56"/>
      <c r="AE28" s="65">
        <v>44155</v>
      </c>
      <c r="AF28" s="65"/>
      <c r="AG28" s="56"/>
      <c r="AH28" s="65">
        <v>44185</v>
      </c>
      <c r="AI28" s="65"/>
      <c r="AJ28" s="56"/>
      <c r="AK28" s="65">
        <v>44216</v>
      </c>
      <c r="AL28" s="65"/>
      <c r="AM28" s="57"/>
      <c r="AN28" s="65">
        <v>44248</v>
      </c>
      <c r="AO28" s="65"/>
      <c r="AP28" s="57"/>
      <c r="AQ28" s="65">
        <v>44276</v>
      </c>
      <c r="AR28" s="65"/>
      <c r="AS28" s="57"/>
      <c r="AT28" s="65">
        <v>44307</v>
      </c>
      <c r="AU28" s="65"/>
      <c r="AV28" s="11"/>
      <c r="AW28" s="65" t="s">
        <v>53</v>
      </c>
      <c r="AX28" s="65"/>
      <c r="AY28" s="11"/>
      <c r="AZ28" s="65" t="s">
        <v>59</v>
      </c>
      <c r="BA28" s="65"/>
      <c r="BB28" s="10"/>
      <c r="BC28" s="10"/>
      <c r="BD28" s="10"/>
      <c r="BE28" s="10"/>
      <c r="BF28" s="10"/>
      <c r="BG28" s="10"/>
    </row>
    <row r="29" spans="1:59" s="9" customFormat="1" x14ac:dyDescent="0.45">
      <c r="A29" s="28"/>
      <c r="B29" s="13"/>
      <c r="C29" s="11"/>
      <c r="D29" s="54">
        <v>2019</v>
      </c>
      <c r="E29" s="54" t="s">
        <v>49</v>
      </c>
      <c r="F29" s="48"/>
      <c r="G29" s="54">
        <v>2019</v>
      </c>
      <c r="H29" s="54" t="s">
        <v>49</v>
      </c>
      <c r="I29" s="48"/>
      <c r="J29" s="54">
        <v>2019</v>
      </c>
      <c r="K29" s="54" t="s">
        <v>49</v>
      </c>
      <c r="L29" s="48"/>
      <c r="M29" s="54">
        <v>2019</v>
      </c>
      <c r="N29" s="54" t="s">
        <v>49</v>
      </c>
      <c r="O29" s="48"/>
      <c r="P29" s="54">
        <v>2019</v>
      </c>
      <c r="Q29" s="54" t="s">
        <v>49</v>
      </c>
      <c r="R29" s="48"/>
      <c r="S29" s="54">
        <v>2019</v>
      </c>
      <c r="T29" s="54" t="s">
        <v>49</v>
      </c>
      <c r="U29" s="48"/>
      <c r="V29" s="54">
        <v>2019</v>
      </c>
      <c r="W29" s="54" t="s">
        <v>49</v>
      </c>
      <c r="X29" s="11"/>
      <c r="Y29" s="54">
        <v>2019</v>
      </c>
      <c r="Z29" s="54" t="s">
        <v>49</v>
      </c>
      <c r="AA29" s="11"/>
      <c r="AB29" s="54">
        <v>2019</v>
      </c>
      <c r="AC29" s="54" t="s">
        <v>49</v>
      </c>
      <c r="AD29" s="11"/>
      <c r="AE29" s="54">
        <v>2019</v>
      </c>
      <c r="AF29" s="54" t="s">
        <v>49</v>
      </c>
      <c r="AG29" s="11"/>
      <c r="AH29" s="54">
        <v>2019</v>
      </c>
      <c r="AI29" s="54" t="s">
        <v>49</v>
      </c>
      <c r="AJ29" s="11"/>
      <c r="AK29" s="54" t="s">
        <v>49</v>
      </c>
      <c r="AL29" s="54" t="s">
        <v>50</v>
      </c>
      <c r="AM29" s="54"/>
      <c r="AN29" s="54" t="s">
        <v>49</v>
      </c>
      <c r="AO29" s="54" t="s">
        <v>50</v>
      </c>
      <c r="AP29" s="51"/>
      <c r="AQ29" s="54" t="s">
        <v>49</v>
      </c>
      <c r="AR29" s="54" t="s">
        <v>50</v>
      </c>
      <c r="AS29" s="51"/>
      <c r="AT29" s="54" t="s">
        <v>49</v>
      </c>
      <c r="AU29" s="54" t="s">
        <v>50</v>
      </c>
      <c r="AV29" s="11"/>
      <c r="AW29" s="54" t="s">
        <v>49</v>
      </c>
      <c r="AX29" s="54" t="s">
        <v>50</v>
      </c>
      <c r="AY29" s="11"/>
      <c r="AZ29" s="54" t="s">
        <v>49</v>
      </c>
      <c r="BA29" s="54" t="s">
        <v>50</v>
      </c>
      <c r="BB29" s="10"/>
      <c r="BC29" s="10"/>
      <c r="BD29" s="10"/>
      <c r="BE29" s="10"/>
      <c r="BF29" s="10"/>
      <c r="BG29" s="10"/>
    </row>
    <row r="30" spans="1:59" x14ac:dyDescent="0.45">
      <c r="A30" s="28"/>
      <c r="B30" s="12" t="str">
        <f>A70</f>
        <v>Residential Demand (Kgal)</v>
      </c>
      <c r="C30" s="11"/>
      <c r="D30" s="15">
        <f>C72</f>
        <v>111009.96192</v>
      </c>
      <c r="E30" s="14">
        <f>B72</f>
        <v>104204.22408000001</v>
      </c>
      <c r="G30" s="15">
        <f>C73</f>
        <v>123525.13140000001</v>
      </c>
      <c r="H30" s="14">
        <f>B73</f>
        <v>116687.49136</v>
      </c>
      <c r="J30" s="15">
        <f>C74</f>
        <v>113258.78652000001</v>
      </c>
      <c r="K30" s="14">
        <f>B74</f>
        <v>109598.96464000001</v>
      </c>
      <c r="M30" s="15">
        <f>C75</f>
        <v>107128.05136</v>
      </c>
      <c r="N30" s="14">
        <f>B75</f>
        <v>109656.01460000001</v>
      </c>
      <c r="O30" s="58"/>
      <c r="P30" s="15">
        <f>C76</f>
        <v>144930.45292000001</v>
      </c>
      <c r="Q30" s="14">
        <f>B76</f>
        <v>154696.23620000001</v>
      </c>
      <c r="R30" s="58"/>
      <c r="S30" s="15">
        <f>C77</f>
        <v>151028.01428</v>
      </c>
      <c r="T30" s="14">
        <f>B77</f>
        <v>159889.35336000001</v>
      </c>
      <c r="V30" s="15">
        <f>C78</f>
        <v>143816.33684</v>
      </c>
      <c r="W30" s="14">
        <f>B78</f>
        <v>160013.98512</v>
      </c>
      <c r="X30" s="11"/>
      <c r="Y30" s="15">
        <f>C79</f>
        <v>260607.45612000002</v>
      </c>
      <c r="Z30" s="14">
        <f>B79</f>
        <v>337995.64084000001</v>
      </c>
      <c r="AA30" s="11"/>
      <c r="AB30" s="15">
        <f>C80</f>
        <v>173601.36772000001</v>
      </c>
      <c r="AC30" s="14">
        <f>B80</f>
        <v>243049.08364000003</v>
      </c>
      <c r="AD30" s="11"/>
      <c r="AE30" s="15">
        <f>C81</f>
        <v>131198.83348</v>
      </c>
      <c r="AF30" s="14">
        <f>B81</f>
        <v>162175.56299999999</v>
      </c>
      <c r="AG30" s="11"/>
      <c r="AH30" s="15">
        <f>C82</f>
        <v>170629.38420000003</v>
      </c>
      <c r="AI30" s="14">
        <f>B82</f>
        <v>207737.90356000001</v>
      </c>
      <c r="AJ30" s="11"/>
      <c r="AK30" s="15">
        <f>C83</f>
        <v>117899.62536000001</v>
      </c>
      <c r="AL30" s="14">
        <f>B83</f>
        <v>124779.79668000001</v>
      </c>
      <c r="AM30" s="60"/>
      <c r="AN30" s="15">
        <f>C84</f>
        <v>104204.22408000001</v>
      </c>
      <c r="AO30" s="14">
        <f>B84</f>
        <v>124538.23756000001</v>
      </c>
      <c r="AP30" s="60"/>
      <c r="AQ30" s="15">
        <f>C85</f>
        <v>116687.49136</v>
      </c>
      <c r="AR30" s="14">
        <f>B85</f>
        <v>144510.13676000002</v>
      </c>
      <c r="AS30" s="60"/>
      <c r="AT30" s="15">
        <f>C86</f>
        <v>109598.96464000001</v>
      </c>
      <c r="AU30" s="14">
        <f>B86</f>
        <v>95313.825200000007</v>
      </c>
      <c r="AV30" s="60"/>
      <c r="AW30" s="15">
        <f>C87</f>
        <v>109656.01460000001</v>
      </c>
      <c r="AX30" s="14">
        <f>B87</f>
        <v>106271.913</v>
      </c>
      <c r="AY30" s="11"/>
      <c r="AZ30" s="15">
        <f>C88</f>
        <v>154696.23620000001</v>
      </c>
      <c r="BA30" s="14">
        <f>B88</f>
        <v>134556.17164000002</v>
      </c>
      <c r="BB30" s="10"/>
      <c r="BC30" s="10"/>
      <c r="BD30" s="10"/>
      <c r="BE30" s="10"/>
      <c r="BF30" s="10"/>
      <c r="BG30" s="10"/>
    </row>
    <row r="31" spans="1:59" x14ac:dyDescent="0.45">
      <c r="A31" s="28"/>
      <c r="B31" s="12" t="str">
        <f>A90</f>
        <v>Non-Residential Demand (Kgal)</v>
      </c>
      <c r="C31" s="11"/>
      <c r="D31" s="15">
        <f>C92</f>
        <v>24891.70464</v>
      </c>
      <c r="E31" s="14">
        <f>B92</f>
        <v>27184.287240000001</v>
      </c>
      <c r="G31" s="15">
        <f>C93</f>
        <v>42416.79552</v>
      </c>
      <c r="H31" s="14">
        <f>B93</f>
        <v>52556.783840000004</v>
      </c>
      <c r="J31" s="15">
        <f>C94</f>
        <v>33427.880640000003</v>
      </c>
      <c r="K31" s="14">
        <f>B94</f>
        <v>30008.585640000001</v>
      </c>
      <c r="M31" s="15">
        <f>C95</f>
        <v>26254.44844</v>
      </c>
      <c r="N31" s="14">
        <f>B95</f>
        <v>21459.484200000003</v>
      </c>
      <c r="O31" s="58"/>
      <c r="P31" s="15">
        <f>C96</f>
        <v>33248.873200000002</v>
      </c>
      <c r="Q31" s="14">
        <f>B96</f>
        <v>47687.401080000003</v>
      </c>
      <c r="R31" s="58"/>
      <c r="S31" s="15">
        <f>C97</f>
        <v>42679.937520000007</v>
      </c>
      <c r="T31" s="14">
        <f>B97</f>
        <v>33702.69584</v>
      </c>
      <c r="V31" s="15">
        <f>C98</f>
        <v>34036.498319999999</v>
      </c>
      <c r="W31" s="14">
        <f>B98</f>
        <v>30630.764560000003</v>
      </c>
      <c r="X31" s="11"/>
      <c r="Y31" s="15">
        <f>C99</f>
        <v>86367.775120000006</v>
      </c>
      <c r="Z31" s="14">
        <f>B99</f>
        <v>87939.966400000005</v>
      </c>
      <c r="AA31" s="11"/>
      <c r="AB31" s="15">
        <f>C100</f>
        <v>49561.754440000004</v>
      </c>
      <c r="AC31" s="14">
        <f>B100</f>
        <v>51017.646679999998</v>
      </c>
      <c r="AD31" s="11"/>
      <c r="AE31" s="15">
        <f>C101</f>
        <v>32261.419520000003</v>
      </c>
      <c r="AF31" s="14">
        <f>B101</f>
        <v>38090.246920000005</v>
      </c>
      <c r="AG31" s="11"/>
      <c r="AH31" s="15">
        <f>C102</f>
        <v>66164.871080000012</v>
      </c>
      <c r="AI31" s="14">
        <f>B102</f>
        <v>72201.814520000014</v>
      </c>
      <c r="AJ31" s="11"/>
      <c r="AK31" s="15">
        <f>C103</f>
        <v>38851.995160000006</v>
      </c>
      <c r="AL31" s="14">
        <f>B103</f>
        <v>32645.300600000002</v>
      </c>
      <c r="AM31" s="60"/>
      <c r="AN31" s="15">
        <f>C104</f>
        <v>27184.287240000001</v>
      </c>
      <c r="AO31" s="14">
        <f>B104</f>
        <v>32987.652720000006</v>
      </c>
      <c r="AP31" s="60"/>
      <c r="AQ31" s="15">
        <f>C105</f>
        <v>52556.783840000004</v>
      </c>
      <c r="AR31" s="14">
        <f>B105</f>
        <v>37296.185080000003</v>
      </c>
      <c r="AS31" s="60"/>
      <c r="AT31" s="15">
        <f>C106</f>
        <v>30008.585640000001</v>
      </c>
      <c r="AU31" s="14">
        <f>B106</f>
        <v>52983.592640000003</v>
      </c>
      <c r="AV31" s="60"/>
      <c r="AW31" s="15">
        <f>C107</f>
        <v>21459.484200000003</v>
      </c>
      <c r="AX31" s="14">
        <f>B107</f>
        <v>30657.737440000001</v>
      </c>
      <c r="AY31" s="11"/>
      <c r="AZ31" s="15">
        <f>C108</f>
        <v>47687.401080000003</v>
      </c>
      <c r="BA31" s="14">
        <f>B108</f>
        <v>25485.257600000001</v>
      </c>
      <c r="BB31" s="10"/>
      <c r="BC31" s="10"/>
      <c r="BD31" s="10"/>
      <c r="BE31" s="10"/>
      <c r="BF31" s="10"/>
      <c r="BG31" s="10"/>
    </row>
    <row r="32" spans="1:59" x14ac:dyDescent="0.45">
      <c r="A32" s="28"/>
      <c r="B32" s="12" t="str">
        <f>A110</f>
        <v>Wholesale Demand (Kgal)</v>
      </c>
      <c r="C32" s="11"/>
      <c r="D32" s="15">
        <f>C112</f>
        <v>0</v>
      </c>
      <c r="E32" s="14">
        <f>B112</f>
        <v>0</v>
      </c>
      <c r="G32" s="15">
        <f>C113</f>
        <v>14013.78</v>
      </c>
      <c r="H32" s="14">
        <f>B113</f>
        <v>21965.02</v>
      </c>
      <c r="J32" s="15">
        <f>C114</f>
        <v>0</v>
      </c>
      <c r="K32" s="14">
        <f>B114</f>
        <v>0</v>
      </c>
      <c r="M32" s="15">
        <f>C115</f>
        <v>0</v>
      </c>
      <c r="N32" s="14">
        <f>B115</f>
        <v>0</v>
      </c>
      <c r="O32" s="58"/>
      <c r="P32" s="15">
        <f>C116</f>
        <v>30443.599999999999</v>
      </c>
      <c r="Q32" s="14">
        <f>B116</f>
        <v>27331</v>
      </c>
      <c r="R32" s="58"/>
      <c r="S32" s="15">
        <f>C117</f>
        <v>0</v>
      </c>
      <c r="T32" s="14">
        <f>B117</f>
        <v>0</v>
      </c>
      <c r="V32" s="15">
        <f>C118</f>
        <v>0</v>
      </c>
      <c r="W32" s="14">
        <f>B118</f>
        <v>0</v>
      </c>
      <c r="X32" s="11"/>
      <c r="Y32" s="15">
        <f>C119</f>
        <v>38376.14</v>
      </c>
      <c r="Z32" s="14">
        <f>B119</f>
        <v>50400.24</v>
      </c>
      <c r="AA32" s="11"/>
      <c r="AB32" s="15">
        <f>C120</f>
        <v>0</v>
      </c>
      <c r="AC32" s="14">
        <f>B120</f>
        <v>0</v>
      </c>
      <c r="AD32" s="11"/>
      <c r="AE32" s="15">
        <f>C121</f>
        <v>0</v>
      </c>
      <c r="AF32" s="14">
        <f>B121</f>
        <v>0</v>
      </c>
      <c r="AG32" s="11"/>
      <c r="AH32" s="15">
        <f>C122</f>
        <v>24784.98</v>
      </c>
      <c r="AI32" s="14">
        <f>B122</f>
        <v>30611.9</v>
      </c>
      <c r="AJ32" s="11"/>
      <c r="AK32" s="15">
        <f>C123</f>
        <v>0</v>
      </c>
      <c r="AL32" s="14">
        <f>B123</f>
        <v>0</v>
      </c>
      <c r="AM32" s="60"/>
      <c r="AN32" s="15">
        <f>C124</f>
        <v>0</v>
      </c>
      <c r="AO32" s="14">
        <f>B124</f>
        <v>0</v>
      </c>
      <c r="AP32" s="60"/>
      <c r="AQ32" s="15">
        <f>C125</f>
        <v>21965.02</v>
      </c>
      <c r="AR32" s="15">
        <f>B125</f>
        <v>30196.76</v>
      </c>
      <c r="AS32" s="62"/>
      <c r="AT32" s="15">
        <f>C126</f>
        <v>0</v>
      </c>
      <c r="AU32" s="15">
        <f>B126</f>
        <v>0</v>
      </c>
      <c r="AV32" s="62"/>
      <c r="AW32" s="15">
        <f>C127</f>
        <v>0</v>
      </c>
      <c r="AX32" s="15">
        <f>B127</f>
        <v>0</v>
      </c>
      <c r="AY32" s="11"/>
      <c r="AZ32" s="15">
        <f>C128</f>
        <v>27331</v>
      </c>
      <c r="BA32" s="15">
        <f>B128</f>
        <v>27993.9</v>
      </c>
      <c r="BB32" s="10"/>
      <c r="BC32" s="10"/>
      <c r="BD32" s="10"/>
      <c r="BE32" s="10"/>
      <c r="BF32" s="10"/>
      <c r="BG32" s="10"/>
    </row>
    <row r="33" spans="1:59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1"/>
      <c r="AZ33" s="15">
        <f t="shared" ref="AZ33:BA33" si="4">SUM(AZ30:AZ32)</f>
        <v>229714.63728000002</v>
      </c>
      <c r="BA33" s="14">
        <f t="shared" si="4"/>
        <v>188035.32924000002</v>
      </c>
      <c r="BB33" s="10"/>
      <c r="BC33" s="10"/>
      <c r="BD33" s="10"/>
      <c r="BE33" s="10"/>
      <c r="BF33" s="10"/>
      <c r="BG33" s="10"/>
    </row>
    <row r="34" spans="1:59" x14ac:dyDescent="0.45">
      <c r="A34" s="28"/>
      <c r="B34" s="12" t="s">
        <v>5</v>
      </c>
      <c r="C34" s="11"/>
      <c r="D34" s="66">
        <f>E33/D33-1</f>
        <v>-3.3208976418309444E-2</v>
      </c>
      <c r="E34" s="66"/>
      <c r="F34" s="19"/>
      <c r="G34" s="66">
        <f>H33/G33-1</f>
        <v>6.2535323122610453E-2</v>
      </c>
      <c r="H34" s="66"/>
      <c r="I34" s="19"/>
      <c r="J34" s="66">
        <f>K33/J33-1</f>
        <v>-4.8260124911546298E-2</v>
      </c>
      <c r="K34" s="66"/>
      <c r="L34" s="19"/>
      <c r="M34" s="66">
        <f>N33/M33-1</f>
        <v>-1.6996240161934573E-2</v>
      </c>
      <c r="N34" s="66"/>
      <c r="O34" s="19"/>
      <c r="P34" s="66">
        <f>Q33/P33-1</f>
        <v>0.10109968042471063</v>
      </c>
      <c r="Q34" s="66"/>
      <c r="R34" s="19"/>
      <c r="S34" s="66">
        <f>T33/S33-1</f>
        <v>-5.9833682057441884E-4</v>
      </c>
      <c r="T34" s="66"/>
      <c r="U34" s="19"/>
      <c r="V34" s="66">
        <f>W33/V33-1</f>
        <v>7.1924152957652421E-2</v>
      </c>
      <c r="W34" s="66"/>
      <c r="X34" s="11"/>
      <c r="Y34" s="66">
        <f>Z33/Y33-1</f>
        <v>0.23610782986765111</v>
      </c>
      <c r="Z34" s="66"/>
      <c r="AA34" s="11"/>
      <c r="AB34" s="66">
        <f>AC33/AB33-1</f>
        <v>0.31772099025019296</v>
      </c>
      <c r="AC34" s="66"/>
      <c r="AD34" s="11"/>
      <c r="AE34" s="66">
        <f>AF33/AE33-1</f>
        <v>0.22516517773895783</v>
      </c>
      <c r="AF34" s="66"/>
      <c r="AG34" s="11"/>
      <c r="AH34" s="66">
        <f>AI33/AH33-1</f>
        <v>0.18721815876393588</v>
      </c>
      <c r="AI34" s="66"/>
      <c r="AJ34" s="11"/>
      <c r="AK34" s="67">
        <f>AL33/AK33-1</f>
        <v>4.2964580383020312E-3</v>
      </c>
      <c r="AL34" s="68"/>
      <c r="AM34" s="61"/>
      <c r="AN34" s="67">
        <f>AO33/AN33-1</f>
        <v>0.19893199715416343</v>
      </c>
      <c r="AO34" s="68"/>
      <c r="AP34" s="61"/>
      <c r="AQ34" s="67">
        <f>AR33/AQ33-1</f>
        <v>0.10874882739487246</v>
      </c>
      <c r="AR34" s="68"/>
      <c r="AS34" s="61"/>
      <c r="AT34" s="67">
        <f>AU33/AT33-1</f>
        <v>6.2244968431660164E-2</v>
      </c>
      <c r="AU34" s="68"/>
      <c r="AV34" s="61"/>
      <c r="AW34" s="67">
        <f>AX33/AW33-1</f>
        <v>4.4343740390819342E-2</v>
      </c>
      <c r="AX34" s="68"/>
      <c r="AY34" s="11"/>
      <c r="AZ34" s="67">
        <f>BA33/AZ33-1</f>
        <v>-0.18143949612229948</v>
      </c>
      <c r="BA34" s="68"/>
      <c r="BB34" s="10"/>
      <c r="BC34" s="10"/>
      <c r="BD34" s="10"/>
      <c r="BE34" s="10"/>
      <c r="BF34" s="10"/>
      <c r="BG34" s="10"/>
    </row>
    <row r="35" spans="1:59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/>
      <c r="BC35" s="10"/>
      <c r="BD35" s="10"/>
      <c r="BE35" s="10"/>
      <c r="BF35" s="10"/>
      <c r="BG35" s="10"/>
    </row>
    <row r="36" spans="1:59" x14ac:dyDescent="0.45">
      <c r="A36" s="28"/>
      <c r="B36" s="70" t="s">
        <v>41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63"/>
      <c r="AZ36" s="63"/>
      <c r="BA36" s="63"/>
      <c r="BB36" s="10"/>
      <c r="BC36" s="10"/>
      <c r="BD36" s="10"/>
      <c r="BE36" s="10"/>
      <c r="BF36" s="10"/>
      <c r="BG36" s="10"/>
    </row>
    <row r="37" spans="1:59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59" s="9" customFormat="1" x14ac:dyDescent="0.45">
      <c r="A48" s="71" t="s">
        <v>12</v>
      </c>
      <c r="B48" s="71"/>
      <c r="C48" s="71"/>
      <c r="D48" s="71"/>
      <c r="E48" s="71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54</v>
      </c>
      <c r="C51" s="3" t="s">
        <v>48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Input'!F40</f>
        <v>167.53200000000001</v>
      </c>
      <c r="C52" s="23">
        <f>'Demand Input'!D40</f>
        <v>173.84700000000001</v>
      </c>
      <c r="D52" s="5">
        <f t="shared" ref="D52:D59" si="5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Input'!F41</f>
        <v>190.30600000000001</v>
      </c>
      <c r="C53" s="23">
        <f>'Demand Input'!D41</f>
        <v>195.333</v>
      </c>
      <c r="D53" s="5">
        <f t="shared" si="5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Input'!F42</f>
        <v>178.22</v>
      </c>
      <c r="C54" s="23">
        <f>'Demand Input'!D42</f>
        <v>193.55099999999999</v>
      </c>
      <c r="D54" s="5">
        <f t="shared" si="5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Input'!F43</f>
        <v>240.625</v>
      </c>
      <c r="C55" s="23">
        <f>'Demand Input'!D43</f>
        <v>228.09100000000001</v>
      </c>
      <c r="D55" s="5">
        <f t="shared" si="5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Input'!F44</f>
        <v>348.57</v>
      </c>
      <c r="C56" s="23">
        <f>'Demand Input'!D44</f>
        <v>257.89999999999998</v>
      </c>
      <c r="D56" s="5">
        <f t="shared" si="5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Input'!F45</f>
        <v>381.34</v>
      </c>
      <c r="C57" s="23">
        <f>'Demand Input'!D45</f>
        <v>333.37</v>
      </c>
      <c r="D57" s="5">
        <f t="shared" si="5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Input'!F46</f>
        <v>370.12</v>
      </c>
      <c r="C58" s="23">
        <f>'Demand Input'!D46</f>
        <v>323.49</v>
      </c>
      <c r="D58" s="5">
        <f t="shared" si="5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Input'!F47</f>
        <v>320.39</v>
      </c>
      <c r="C59" s="23">
        <f>'Demand Input'!D47</f>
        <v>282.52999999999997</v>
      </c>
      <c r="D59" s="5">
        <f t="shared" si="5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Input'!F48</f>
        <v>233.34</v>
      </c>
      <c r="C60" s="23">
        <f>'Demand Input'!D48</f>
        <v>208.72</v>
      </c>
      <c r="D60" s="5">
        <f t="shared" ref="D60:D62" si="6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Input'!F49</f>
        <v>187.14</v>
      </c>
      <c r="C61" s="23">
        <f>'Demand Input'!D49</f>
        <v>193.92</v>
      </c>
      <c r="D61" s="5">
        <f t="shared" si="6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Input'!F50</f>
        <v>182.02</v>
      </c>
      <c r="C62" s="23">
        <f>'Demand Input'!D50</f>
        <v>188.86</v>
      </c>
      <c r="D62" s="5">
        <f t="shared" si="6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Input'!F51</f>
        <v>189.96</v>
      </c>
      <c r="C63" s="23">
        <f>'Demand Input'!D51</f>
        <v>189.94</v>
      </c>
      <c r="D63" s="5">
        <f t="shared" ref="D63:D64" si="7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Input'!F52</f>
        <v>178.97</v>
      </c>
      <c r="C64" s="23">
        <f>'Demand Input'!D52</f>
        <v>173.75</v>
      </c>
      <c r="D64" s="5">
        <f t="shared" si="7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Input'!F53</f>
        <v>195.96</v>
      </c>
      <c r="C65" s="23">
        <f>'Demand Input'!D53</f>
        <v>190.77</v>
      </c>
      <c r="D65" s="5">
        <f t="shared" ref="D65" si="8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Input'!F54</f>
        <v>203.05</v>
      </c>
      <c r="C66" s="23">
        <f>'Demand Input'!D54</f>
        <v>184.23</v>
      </c>
      <c r="D66" s="5">
        <f t="shared" ref="D66:D68" si="9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51</v>
      </c>
      <c r="B67" s="23">
        <f>'Demand Input'!F55</f>
        <v>280.19</v>
      </c>
      <c r="C67" s="23">
        <f>'Demand Input'!D55</f>
        <v>240.63</v>
      </c>
      <c r="D67" s="5">
        <f t="shared" si="9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52</v>
      </c>
      <c r="B68" s="23">
        <f>'Demand Input'!F56</f>
        <v>329.03800000000001</v>
      </c>
      <c r="C68" s="23">
        <f>'Demand Input'!D56</f>
        <v>348.57</v>
      </c>
      <c r="D68" s="5">
        <f t="shared" si="9"/>
        <v>0.94396534412026278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70" spans="1:45" x14ac:dyDescent="0.45">
      <c r="A70" s="7" t="str">
        <f>"Residential Demand ("&amp;'Demand Input'!$C$8&amp;")"</f>
        <v>Residential Demand (Kgal)</v>
      </c>
    </row>
    <row r="71" spans="1:45" ht="28.5" x14ac:dyDescent="0.45">
      <c r="A71" s="2" t="s">
        <v>0</v>
      </c>
      <c r="B71" s="3" t="s">
        <v>47</v>
      </c>
      <c r="C71" s="3" t="s">
        <v>48</v>
      </c>
    </row>
    <row r="72" spans="1:45" x14ac:dyDescent="0.45">
      <c r="A72" s="53">
        <v>43862</v>
      </c>
      <c r="B72" s="6">
        <f>'Demand Input'!F17</f>
        <v>104204.22408000001</v>
      </c>
      <c r="C72" s="6">
        <f>'Demand Input'!B17</f>
        <v>111009.96192</v>
      </c>
      <c r="D72" s="4">
        <f>B72/C72</f>
        <v>0.93869254864798002</v>
      </c>
      <c r="E72" s="4"/>
      <c r="F72" s="4"/>
      <c r="I72" s="4"/>
      <c r="L72" s="4"/>
      <c r="O72" s="4"/>
      <c r="R72" s="4"/>
      <c r="U72" s="4"/>
    </row>
    <row r="73" spans="1:45" x14ac:dyDescent="0.45">
      <c r="A73" s="53">
        <v>43891</v>
      </c>
      <c r="B73" s="6">
        <f>'Demand Input'!F18</f>
        <v>116687.49136</v>
      </c>
      <c r="C73" s="6">
        <f>'Demand Input'!B18</f>
        <v>123525.13140000001</v>
      </c>
      <c r="D73" s="4">
        <f t="shared" ref="D73:D79" si="10">B73/C73</f>
        <v>0.94464575781054372</v>
      </c>
      <c r="E73" s="4"/>
      <c r="F73" s="4"/>
      <c r="I73" s="4"/>
      <c r="L73" s="4"/>
      <c r="O73" s="4"/>
      <c r="R73" s="4"/>
      <c r="U73" s="4"/>
    </row>
    <row r="74" spans="1:45" x14ac:dyDescent="0.45">
      <c r="A74" s="53">
        <v>43922</v>
      </c>
      <c r="B74" s="6">
        <f>'Demand Input'!F19</f>
        <v>109598.96464000001</v>
      </c>
      <c r="C74" s="6">
        <f>'Demand Input'!B19</f>
        <v>113258.78652000001</v>
      </c>
      <c r="D74" s="4">
        <f t="shared" si="10"/>
        <v>0.9676861990804243</v>
      </c>
      <c r="E74" s="4"/>
      <c r="F74" s="4"/>
      <c r="I74" s="4"/>
      <c r="L74" s="4"/>
      <c r="O74" s="4"/>
      <c r="R74" s="4"/>
      <c r="U74" s="4"/>
    </row>
    <row r="75" spans="1:45" x14ac:dyDescent="0.45">
      <c r="A75" s="53">
        <v>43952</v>
      </c>
      <c r="B75" s="6">
        <f>'Demand Input'!F20</f>
        <v>109656.01460000001</v>
      </c>
      <c r="C75" s="6">
        <f>'Demand Input'!B20</f>
        <v>107128.05136</v>
      </c>
      <c r="D75" s="4">
        <f t="shared" si="10"/>
        <v>1.0235975844599738</v>
      </c>
      <c r="E75" s="4"/>
      <c r="F75" s="4"/>
      <c r="I75" s="4"/>
      <c r="L75" s="4"/>
      <c r="O75" s="4"/>
      <c r="R75" s="4"/>
      <c r="U75" s="4"/>
    </row>
    <row r="76" spans="1:45" x14ac:dyDescent="0.45">
      <c r="A76" s="53">
        <v>43983</v>
      </c>
      <c r="B76" s="6">
        <f>'Demand Input'!F21</f>
        <v>154696.23620000001</v>
      </c>
      <c r="C76" s="6">
        <f>'Demand Input'!B21</f>
        <v>144930.45292000001</v>
      </c>
      <c r="D76" s="4">
        <f t="shared" si="10"/>
        <v>1.0673825485482378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44013</v>
      </c>
      <c r="B77" s="6">
        <f>'Demand Input'!F22</f>
        <v>159889.35336000001</v>
      </c>
      <c r="C77" s="6">
        <f>'Demand Input'!B22</f>
        <v>151028.01428</v>
      </c>
      <c r="D77" s="4">
        <f t="shared" si="10"/>
        <v>1.0586734793690091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44044</v>
      </c>
      <c r="B78" s="6">
        <f>'Demand Input'!F23</f>
        <v>160013.98512</v>
      </c>
      <c r="C78" s="6">
        <f>'Demand Input'!B23</f>
        <v>143816.33684</v>
      </c>
      <c r="D78" s="4">
        <f t="shared" si="10"/>
        <v>1.1126273178409514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44075</v>
      </c>
      <c r="B79" s="6">
        <f>'Demand Input'!F24</f>
        <v>337995.64084000001</v>
      </c>
      <c r="C79" s="6">
        <f>'Demand Input'!B24</f>
        <v>260607.45612000002</v>
      </c>
      <c r="D79" s="4">
        <f t="shared" si="10"/>
        <v>1.2969530721498836</v>
      </c>
    </row>
    <row r="80" spans="1:45" s="9" customFormat="1" x14ac:dyDescent="0.45">
      <c r="A80" s="53">
        <v>44105</v>
      </c>
      <c r="B80" s="6">
        <f>'Demand Input'!F25</f>
        <v>243049.08364000003</v>
      </c>
      <c r="C80" s="6">
        <f>'Demand Input'!B25</f>
        <v>173601.36772000001</v>
      </c>
      <c r="D80" s="4">
        <f t="shared" ref="D80:D82" si="11">B80/C80</f>
        <v>1.4000412947898635</v>
      </c>
      <c r="E80" s="5"/>
      <c r="F80" s="5"/>
      <c r="I80" s="5"/>
      <c r="L80" s="5"/>
      <c r="O80" s="5"/>
      <c r="R80" s="5"/>
      <c r="U80" s="5"/>
      <c r="X80" s="58"/>
      <c r="AA80" s="58"/>
      <c r="AD80" s="58"/>
      <c r="AG80" s="58"/>
      <c r="AJ80" s="58"/>
      <c r="AM80" s="58"/>
      <c r="AP80" s="58"/>
      <c r="AS80" s="58"/>
    </row>
    <row r="81" spans="1:45" s="9" customFormat="1" x14ac:dyDescent="0.45">
      <c r="A81" s="53">
        <v>44136</v>
      </c>
      <c r="B81" s="6">
        <f>'Demand Input'!F26</f>
        <v>162175.56299999999</v>
      </c>
      <c r="C81" s="6">
        <f>'Demand Input'!B26</f>
        <v>131198.83348</v>
      </c>
      <c r="D81" s="4">
        <f t="shared" si="11"/>
        <v>1.2361052205904111</v>
      </c>
      <c r="E81" s="5"/>
      <c r="F81" s="5"/>
      <c r="I81" s="5"/>
      <c r="L81" s="5"/>
      <c r="O81" s="5"/>
      <c r="R81" s="5"/>
      <c r="U81" s="5"/>
      <c r="X81" s="58"/>
      <c r="AA81" s="58"/>
      <c r="AD81" s="58"/>
      <c r="AG81" s="58"/>
      <c r="AJ81" s="58"/>
      <c r="AM81" s="58"/>
      <c r="AP81" s="58"/>
      <c r="AS81" s="58"/>
    </row>
    <row r="82" spans="1:45" s="9" customFormat="1" x14ac:dyDescent="0.45">
      <c r="A82" s="53">
        <v>44166</v>
      </c>
      <c r="B82" s="6">
        <f>'Demand Input'!F27</f>
        <v>207737.90356000001</v>
      </c>
      <c r="C82" s="6">
        <f>'Demand Input'!B27</f>
        <v>170629.38420000003</v>
      </c>
      <c r="D82" s="4">
        <f t="shared" si="11"/>
        <v>1.2174802396081084</v>
      </c>
      <c r="E82" s="5"/>
      <c r="F82" s="5"/>
      <c r="I82" s="5"/>
      <c r="L82" s="5"/>
      <c r="O82" s="5"/>
      <c r="R82" s="5"/>
      <c r="U82" s="5"/>
      <c r="X82" s="58"/>
      <c r="AA82" s="58"/>
      <c r="AD82" s="58"/>
      <c r="AG82" s="58"/>
      <c r="AJ82" s="58"/>
      <c r="AM82" s="58"/>
      <c r="AP82" s="58"/>
      <c r="AS82" s="58"/>
    </row>
    <row r="83" spans="1:45" s="9" customFormat="1" x14ac:dyDescent="0.45">
      <c r="A83" s="53">
        <v>44197</v>
      </c>
      <c r="B83" s="6">
        <f>'Demand Input'!F28</f>
        <v>124779.79668000001</v>
      </c>
      <c r="C83" s="6">
        <f>'Demand Input'!B28</f>
        <v>117899.62536000001</v>
      </c>
      <c r="D83" s="4">
        <f t="shared" ref="D83" si="12">B83/C83</f>
        <v>1.0583561762727556</v>
      </c>
      <c r="E83" s="5"/>
      <c r="F83" s="5"/>
      <c r="I83" s="5"/>
      <c r="L83" s="5"/>
      <c r="O83" s="5"/>
      <c r="R83" s="5"/>
      <c r="U83" s="5"/>
      <c r="X83" s="58"/>
      <c r="AA83" s="58"/>
      <c r="AD83" s="58"/>
      <c r="AG83" s="58"/>
      <c r="AJ83" s="58"/>
      <c r="AM83" s="58"/>
      <c r="AP83" s="58"/>
      <c r="AS83" s="58"/>
    </row>
    <row r="84" spans="1:45" s="9" customFormat="1" x14ac:dyDescent="0.45">
      <c r="A84" s="53">
        <v>44228</v>
      </c>
      <c r="B84" s="6">
        <f>'Demand Input'!F29</f>
        <v>124538.23756000001</v>
      </c>
      <c r="C84" s="6">
        <f>'Demand Input'!B29</f>
        <v>104204.22408000001</v>
      </c>
      <c r="D84" s="4">
        <f t="shared" ref="D84" si="13">B84/C84</f>
        <v>1.1951361728329659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44256</v>
      </c>
      <c r="B85" s="6">
        <f>'Demand Input'!F30</f>
        <v>144510.13676000002</v>
      </c>
      <c r="C85" s="6">
        <f>'Demand Input'!B30</f>
        <v>116687.49136</v>
      </c>
      <c r="D85" s="4">
        <f t="shared" ref="D85" si="14">B85/C85</f>
        <v>1.2384372572906088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44287</v>
      </c>
      <c r="B86" s="6">
        <f>'Demand Input'!F31</f>
        <v>95313.825200000007</v>
      </c>
      <c r="C86" s="6">
        <f>'Demand Input'!B31</f>
        <v>109598.96464000001</v>
      </c>
      <c r="D86" s="4">
        <f t="shared" ref="D86:D88" si="15">B86/C86</f>
        <v>0.86965990521057901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49" t="s">
        <v>51</v>
      </c>
      <c r="B87" s="6">
        <f>'Demand Input'!F32</f>
        <v>106271.913</v>
      </c>
      <c r="C87" s="6">
        <f>'Demand Input'!B32</f>
        <v>109656.01460000001</v>
      </c>
      <c r="D87" s="4">
        <f t="shared" si="15"/>
        <v>0.96913893312332722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49" t="s">
        <v>52</v>
      </c>
      <c r="B88" s="6">
        <f>'Demand Input'!F33</f>
        <v>134556.17164000002</v>
      </c>
      <c r="C88" s="6">
        <f>'Demand Input'!B33</f>
        <v>154696.23620000001</v>
      </c>
      <c r="D88" s="4">
        <f t="shared" si="15"/>
        <v>0.86980895557173232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90" spans="1:45" x14ac:dyDescent="0.45">
      <c r="A90" s="7" t="str">
        <f>"Non-Residential Demand ("&amp;'Demand Input'!$C$8&amp;")"</f>
        <v>Non-Residential Demand (Kgal)</v>
      </c>
    </row>
    <row r="91" spans="1:45" ht="28.5" x14ac:dyDescent="0.45">
      <c r="A91" s="2" t="s">
        <v>0</v>
      </c>
      <c r="B91" s="3" t="s">
        <v>47</v>
      </c>
      <c r="C91" s="3" t="s">
        <v>48</v>
      </c>
    </row>
    <row r="92" spans="1:45" x14ac:dyDescent="0.45">
      <c r="A92" s="53">
        <v>43862</v>
      </c>
      <c r="B92" s="6">
        <f>'Demand Input'!G17</f>
        <v>27184.287240000001</v>
      </c>
      <c r="C92" s="6">
        <f>'Demand Input'!C17</f>
        <v>24891.70464</v>
      </c>
      <c r="D92" s="4">
        <f>B92/C92</f>
        <v>1.092102273956598</v>
      </c>
      <c r="E92" s="4"/>
      <c r="F92" s="4"/>
      <c r="I92" s="4"/>
      <c r="L92" s="4"/>
      <c r="O92" s="4"/>
      <c r="R92" s="4"/>
      <c r="U92" s="4"/>
    </row>
    <row r="93" spans="1:45" x14ac:dyDescent="0.45">
      <c r="A93" s="53">
        <v>43891</v>
      </c>
      <c r="B93" s="6">
        <f>'Demand Input'!G18</f>
        <v>52556.783840000004</v>
      </c>
      <c r="C93" s="6">
        <f>'Demand Input'!C18</f>
        <v>42416.79552</v>
      </c>
      <c r="D93" s="4">
        <f t="shared" ref="D93:D99" si="16">B93/C93</f>
        <v>1.2390559728921269</v>
      </c>
      <c r="E93" s="4"/>
      <c r="F93" s="4"/>
      <c r="I93" s="4"/>
      <c r="L93" s="4"/>
      <c r="O93" s="4"/>
      <c r="R93" s="4"/>
      <c r="U93" s="4"/>
    </row>
    <row r="94" spans="1:45" x14ac:dyDescent="0.45">
      <c r="A94" s="53">
        <v>43922</v>
      </c>
      <c r="B94" s="6">
        <f>'Demand Input'!G19</f>
        <v>30008.585640000001</v>
      </c>
      <c r="C94" s="6">
        <f>'Demand Input'!C19</f>
        <v>33427.880640000003</v>
      </c>
      <c r="D94" s="4">
        <f t="shared" si="16"/>
        <v>0.89771128367891639</v>
      </c>
      <c r="E94" s="4"/>
      <c r="F94" s="4"/>
      <c r="I94" s="4"/>
      <c r="L94" s="4"/>
      <c r="O94" s="4"/>
      <c r="R94" s="4"/>
      <c r="U94" s="4"/>
    </row>
    <row r="95" spans="1:45" x14ac:dyDescent="0.45">
      <c r="A95" s="53">
        <v>43952</v>
      </c>
      <c r="B95" s="6">
        <f>'Demand Input'!G20</f>
        <v>21459.484200000003</v>
      </c>
      <c r="C95" s="6">
        <f>'Demand Input'!C20</f>
        <v>26254.44844</v>
      </c>
      <c r="D95" s="4">
        <f t="shared" si="16"/>
        <v>0.81736564563685055</v>
      </c>
      <c r="E95" s="4"/>
      <c r="F95" s="4"/>
      <c r="I95" s="4"/>
      <c r="L95" s="4"/>
      <c r="O95" s="4"/>
      <c r="R95" s="4"/>
      <c r="U95" s="4"/>
    </row>
    <row r="96" spans="1:45" x14ac:dyDescent="0.45">
      <c r="A96" s="53">
        <v>43983</v>
      </c>
      <c r="B96" s="6">
        <f>'Demand Input'!G21</f>
        <v>47687.401080000003</v>
      </c>
      <c r="C96" s="6">
        <f>'Demand Input'!C21</f>
        <v>33248.873200000002</v>
      </c>
      <c r="D96" s="4">
        <f t="shared" si="16"/>
        <v>1.4342561563860756</v>
      </c>
      <c r="E96" s="4"/>
      <c r="F96" s="4"/>
      <c r="I96" s="4"/>
      <c r="L96" s="4"/>
      <c r="O96" s="4"/>
      <c r="R96" s="4"/>
      <c r="U96" s="4"/>
    </row>
    <row r="97" spans="1:45" x14ac:dyDescent="0.45">
      <c r="A97" s="53">
        <v>44013</v>
      </c>
      <c r="B97" s="6">
        <f>'Demand Input'!G22</f>
        <v>33702.69584</v>
      </c>
      <c r="C97" s="6">
        <f>'Demand Input'!C22</f>
        <v>42679.937520000007</v>
      </c>
      <c r="D97" s="4">
        <f t="shared" si="16"/>
        <v>0.78966132094750063</v>
      </c>
      <c r="E97" s="4"/>
      <c r="F97" s="4"/>
      <c r="I97" s="4"/>
      <c r="L97" s="4"/>
      <c r="O97" s="4"/>
      <c r="R97" s="4"/>
      <c r="U97" s="4"/>
    </row>
    <row r="98" spans="1:45" x14ac:dyDescent="0.45">
      <c r="A98" s="53">
        <v>44044</v>
      </c>
      <c r="B98" s="6">
        <f>'Demand Input'!G23</f>
        <v>30630.764560000003</v>
      </c>
      <c r="C98" s="6">
        <f>'Demand Input'!C23</f>
        <v>34036.498319999999</v>
      </c>
      <c r="D98" s="4">
        <f t="shared" si="16"/>
        <v>0.89993877372518161</v>
      </c>
      <c r="E98" s="4"/>
      <c r="F98" s="4"/>
      <c r="I98" s="4"/>
      <c r="L98" s="4"/>
      <c r="O98" s="4"/>
      <c r="R98" s="4"/>
      <c r="U98" s="4"/>
    </row>
    <row r="99" spans="1:45" x14ac:dyDescent="0.45">
      <c r="A99" s="53">
        <v>44075</v>
      </c>
      <c r="B99" s="6">
        <f>'Demand Input'!G24</f>
        <v>87939.966400000005</v>
      </c>
      <c r="C99" s="6">
        <f>'Demand Input'!C24</f>
        <v>86367.775120000006</v>
      </c>
      <c r="D99" s="4">
        <f t="shared" si="16"/>
        <v>1.0182034477305406</v>
      </c>
    </row>
    <row r="100" spans="1:45" s="9" customFormat="1" x14ac:dyDescent="0.45">
      <c r="A100" s="53">
        <v>44105</v>
      </c>
      <c r="B100" s="6">
        <f>'Demand Input'!G25</f>
        <v>51017.646679999998</v>
      </c>
      <c r="C100" s="6">
        <f>'Demand Input'!C25</f>
        <v>49561.754440000004</v>
      </c>
      <c r="D100" s="4">
        <f t="shared" ref="D100:D102" si="17">B100/C100</f>
        <v>1.0293753168436059</v>
      </c>
      <c r="E100" s="5"/>
      <c r="F100" s="5"/>
      <c r="I100" s="5"/>
      <c r="L100" s="5"/>
      <c r="O100" s="5"/>
      <c r="R100" s="5"/>
      <c r="U100" s="5"/>
      <c r="X100" s="58"/>
      <c r="AA100" s="58"/>
      <c r="AD100" s="58"/>
      <c r="AG100" s="58"/>
      <c r="AJ100" s="58"/>
      <c r="AM100" s="58"/>
      <c r="AP100" s="58"/>
      <c r="AS100" s="58"/>
    </row>
    <row r="101" spans="1:45" s="9" customFormat="1" x14ac:dyDescent="0.45">
      <c r="A101" s="53">
        <v>44136</v>
      </c>
      <c r="B101" s="6">
        <f>'Demand Input'!G26</f>
        <v>38090.246920000005</v>
      </c>
      <c r="C101" s="6">
        <f>'Demand Input'!C26</f>
        <v>32261.419520000003</v>
      </c>
      <c r="D101" s="4">
        <f t="shared" si="17"/>
        <v>1.1806748582896827</v>
      </c>
      <c r="E101" s="5"/>
      <c r="F101" s="5"/>
      <c r="I101" s="5"/>
      <c r="L101" s="5"/>
      <c r="O101" s="5"/>
      <c r="R101" s="5"/>
      <c r="U101" s="5"/>
      <c r="X101" s="58"/>
      <c r="AA101" s="58"/>
      <c r="AD101" s="58"/>
      <c r="AG101" s="58"/>
      <c r="AJ101" s="58"/>
      <c r="AM101" s="58"/>
      <c r="AP101" s="58"/>
      <c r="AS101" s="58"/>
    </row>
    <row r="102" spans="1:45" s="9" customFormat="1" x14ac:dyDescent="0.45">
      <c r="A102" s="53">
        <v>44166</v>
      </c>
      <c r="B102" s="6">
        <f>'Demand Input'!G27</f>
        <v>72201.814520000014</v>
      </c>
      <c r="C102" s="6">
        <f>'Demand Input'!C27</f>
        <v>66164.871080000012</v>
      </c>
      <c r="D102" s="4">
        <f t="shared" si="17"/>
        <v>1.0912409159340872</v>
      </c>
      <c r="E102" s="5"/>
      <c r="F102" s="5"/>
      <c r="I102" s="5"/>
      <c r="L102" s="5"/>
      <c r="O102" s="5"/>
      <c r="R102" s="5"/>
      <c r="U102" s="5"/>
      <c r="X102" s="58"/>
      <c r="AA102" s="58"/>
      <c r="AD102" s="58"/>
      <c r="AG102" s="58"/>
      <c r="AJ102" s="58"/>
      <c r="AM102" s="58"/>
      <c r="AP102" s="58"/>
      <c r="AS102" s="58"/>
    </row>
    <row r="103" spans="1:45" s="9" customFormat="1" x14ac:dyDescent="0.45">
      <c r="A103" s="53">
        <v>44197</v>
      </c>
      <c r="B103" s="6">
        <f>'Demand Input'!G28</f>
        <v>32645.300600000002</v>
      </c>
      <c r="C103" s="6">
        <f>'Demand Input'!C28</f>
        <v>38851.995160000006</v>
      </c>
      <c r="D103" s="4">
        <f t="shared" ref="D103" si="18">B103/C103</f>
        <v>0.84024772641817647</v>
      </c>
      <c r="E103" s="5"/>
      <c r="F103" s="5"/>
      <c r="I103" s="5"/>
      <c r="L103" s="5"/>
      <c r="O103" s="5"/>
      <c r="R103" s="5"/>
      <c r="U103" s="5"/>
      <c r="X103" s="58"/>
      <c r="AA103" s="58"/>
      <c r="AD103" s="58"/>
      <c r="AG103" s="58"/>
      <c r="AJ103" s="58"/>
      <c r="AM103" s="58"/>
      <c r="AP103" s="58"/>
      <c r="AS103" s="58"/>
    </row>
    <row r="104" spans="1:45" x14ac:dyDescent="0.45">
      <c r="A104" s="53">
        <v>44228</v>
      </c>
      <c r="B104" s="6">
        <f>'Demand Input'!G29</f>
        <v>32987.652720000006</v>
      </c>
      <c r="C104" s="6">
        <f>'Demand Input'!C29</f>
        <v>27184.287240000001</v>
      </c>
      <c r="D104" s="4">
        <f t="shared" ref="D104" si="19">B104/C104</f>
        <v>1.2134823484156212</v>
      </c>
    </row>
    <row r="105" spans="1:45" s="9" customFormat="1" x14ac:dyDescent="0.45">
      <c r="A105" s="53">
        <v>44256</v>
      </c>
      <c r="B105" s="6">
        <f>'Demand Input'!G30</f>
        <v>37296.185080000003</v>
      </c>
      <c r="C105" s="6">
        <f>'Demand Input'!C30</f>
        <v>52556.783840000004</v>
      </c>
      <c r="D105" s="4">
        <f t="shared" ref="D105" si="20">B105/C105</f>
        <v>0.70963598521442561</v>
      </c>
      <c r="X105" s="58"/>
      <c r="AA105" s="58"/>
      <c r="AD105" s="58"/>
      <c r="AG105" s="58"/>
      <c r="AJ105" s="58"/>
      <c r="AM105" s="58"/>
      <c r="AP105" s="58"/>
      <c r="AS105" s="58"/>
    </row>
    <row r="106" spans="1:45" s="9" customFormat="1" x14ac:dyDescent="0.45">
      <c r="A106" s="53">
        <v>44287</v>
      </c>
      <c r="B106" s="6">
        <f>'Demand Input'!G31</f>
        <v>52983.592640000003</v>
      </c>
      <c r="C106" s="6">
        <f>'Demand Input'!C31</f>
        <v>30008.585640000001</v>
      </c>
      <c r="D106" s="4">
        <f t="shared" ref="D106" si="21">B106/C106</f>
        <v>1.7656144569964478</v>
      </c>
      <c r="X106" s="58"/>
      <c r="AA106" s="58"/>
      <c r="AD106" s="58"/>
      <c r="AG106" s="58"/>
      <c r="AJ106" s="58"/>
      <c r="AM106" s="58"/>
      <c r="AP106" s="58"/>
      <c r="AS106" s="58"/>
    </row>
    <row r="107" spans="1:45" s="9" customFormat="1" x14ac:dyDescent="0.45">
      <c r="A107" s="49" t="s">
        <v>51</v>
      </c>
      <c r="B107" s="6">
        <f>'Demand Input'!G32</f>
        <v>30657.737440000001</v>
      </c>
      <c r="C107" s="6">
        <f>'Demand Input'!C32</f>
        <v>21459.484200000003</v>
      </c>
      <c r="D107" s="4">
        <f t="shared" ref="D107:D108" si="22">B107/C107</f>
        <v>1.4286334729331471</v>
      </c>
      <c r="X107" s="58"/>
      <c r="AA107" s="58"/>
      <c r="AD107" s="58"/>
      <c r="AG107" s="58"/>
      <c r="AJ107" s="58"/>
      <c r="AM107" s="58"/>
      <c r="AP107" s="58"/>
      <c r="AS107" s="58"/>
    </row>
    <row r="108" spans="1:45" s="9" customFormat="1" x14ac:dyDescent="0.45">
      <c r="A108" s="49" t="s">
        <v>52</v>
      </c>
      <c r="B108" s="6">
        <f>'Demand Input'!G33</f>
        <v>25485.257600000001</v>
      </c>
      <c r="C108" s="6">
        <f>'Demand Input'!C33</f>
        <v>47687.401080000003</v>
      </c>
      <c r="D108" s="4">
        <f t="shared" si="22"/>
        <v>0.53442328629413327</v>
      </c>
      <c r="X108" s="58"/>
      <c r="AA108" s="58"/>
      <c r="AD108" s="58"/>
      <c r="AG108" s="58"/>
      <c r="AJ108" s="58"/>
      <c r="AM108" s="58"/>
      <c r="AP108" s="58"/>
      <c r="AS108" s="58"/>
    </row>
    <row r="109" spans="1:45" s="9" customFormat="1" x14ac:dyDescent="0.45">
      <c r="A109" s="1"/>
      <c r="B109" s="6"/>
      <c r="C109" s="6"/>
      <c r="D109" s="4"/>
      <c r="X109" s="58"/>
      <c r="AA109" s="58"/>
      <c r="AD109" s="58"/>
      <c r="AG109" s="58"/>
      <c r="AJ109" s="58"/>
      <c r="AM109" s="58"/>
      <c r="AP109" s="58"/>
      <c r="AS109" s="58"/>
    </row>
    <row r="110" spans="1:45" x14ac:dyDescent="0.45">
      <c r="A110" s="7" t="str">
        <f>"Wholesale Demand ("&amp;'Demand Input'!$C$8&amp;")"</f>
        <v>Wholesale Demand (Kgal)</v>
      </c>
    </row>
    <row r="111" spans="1:45" ht="28.5" x14ac:dyDescent="0.45">
      <c r="A111" s="2" t="s">
        <v>0</v>
      </c>
      <c r="B111" s="3" t="s">
        <v>47</v>
      </c>
      <c r="C111" s="3" t="s">
        <v>48</v>
      </c>
    </row>
    <row r="112" spans="1:45" x14ac:dyDescent="0.45">
      <c r="A112" s="53">
        <v>43862</v>
      </c>
      <c r="B112" s="6">
        <f>'Demand Input'!H17</f>
        <v>0</v>
      </c>
      <c r="C112" s="6">
        <f>'Demand Input'!D17</f>
        <v>0</v>
      </c>
      <c r="D112" s="4" t="e">
        <f>B112/C112</f>
        <v>#DIV/0!</v>
      </c>
      <c r="E112" s="4"/>
      <c r="F112" s="4"/>
      <c r="I112" s="4"/>
      <c r="L112" s="4"/>
      <c r="O112" s="4"/>
      <c r="R112" s="4"/>
      <c r="U112" s="4"/>
    </row>
    <row r="113" spans="1:45" x14ac:dyDescent="0.45">
      <c r="A113" s="53">
        <v>43891</v>
      </c>
      <c r="B113" s="6">
        <f>'Demand Input'!H18</f>
        <v>21965.02</v>
      </c>
      <c r="C113" s="6">
        <f>'Demand Input'!D18</f>
        <v>14013.78</v>
      </c>
      <c r="D113" s="4">
        <f t="shared" ref="D113:D119" si="23">B113/C113</f>
        <v>1.5673872431278355</v>
      </c>
      <c r="E113" s="4"/>
      <c r="F113" s="4"/>
      <c r="I113" s="4"/>
      <c r="L113" s="4"/>
      <c r="O113" s="4"/>
      <c r="R113" s="4"/>
      <c r="U113" s="4"/>
    </row>
    <row r="114" spans="1:45" x14ac:dyDescent="0.45">
      <c r="A114" s="53">
        <v>43922</v>
      </c>
      <c r="B114" s="6">
        <f>'Demand Input'!H19</f>
        <v>0</v>
      </c>
      <c r="C114" s="6">
        <f>'Demand Input'!D19</f>
        <v>0</v>
      </c>
      <c r="D114" s="4" t="e">
        <f t="shared" si="23"/>
        <v>#DIV/0!</v>
      </c>
      <c r="E114" s="4"/>
      <c r="F114" s="4"/>
      <c r="I114" s="4"/>
      <c r="L114" s="4"/>
      <c r="O114" s="4"/>
      <c r="R114" s="4"/>
      <c r="U114" s="4"/>
    </row>
    <row r="115" spans="1:45" x14ac:dyDescent="0.45">
      <c r="A115" s="53">
        <v>43952</v>
      </c>
      <c r="B115" s="6">
        <f>'Demand Input'!H20</f>
        <v>0</v>
      </c>
      <c r="C115" s="6">
        <f>'Demand Input'!D20</f>
        <v>0</v>
      </c>
      <c r="D115" s="4" t="e">
        <f t="shared" si="23"/>
        <v>#DIV/0!</v>
      </c>
      <c r="E115" s="4"/>
      <c r="F115" s="4"/>
      <c r="I115" s="4"/>
      <c r="L115" s="4"/>
      <c r="O115" s="4"/>
      <c r="R115" s="4"/>
      <c r="U115" s="4"/>
    </row>
    <row r="116" spans="1:45" x14ac:dyDescent="0.45">
      <c r="A116" s="53">
        <v>43983</v>
      </c>
      <c r="B116" s="6">
        <f>'Demand Input'!H21</f>
        <v>27331</v>
      </c>
      <c r="C116" s="6">
        <f>'Demand Input'!D21</f>
        <v>30443.599999999999</v>
      </c>
      <c r="D116" s="4">
        <f t="shared" si="23"/>
        <v>0.89775847797238173</v>
      </c>
      <c r="E116" s="4"/>
      <c r="F116" s="4"/>
      <c r="I116" s="4"/>
      <c r="L116" s="4"/>
      <c r="O116" s="4"/>
      <c r="R116" s="4"/>
      <c r="U116" s="4"/>
    </row>
    <row r="117" spans="1:45" x14ac:dyDescent="0.45">
      <c r="A117" s="53">
        <v>44013</v>
      </c>
      <c r="B117" s="6">
        <f>'Demand Input'!H22</f>
        <v>0</v>
      </c>
      <c r="C117" s="6">
        <f>'Demand Input'!D22</f>
        <v>0</v>
      </c>
      <c r="D117" s="4" t="e">
        <f t="shared" si="23"/>
        <v>#DIV/0!</v>
      </c>
      <c r="E117" s="4"/>
      <c r="F117" s="4"/>
      <c r="I117" s="4"/>
      <c r="L117" s="4"/>
      <c r="O117" s="4"/>
      <c r="R117" s="4"/>
      <c r="U117" s="4"/>
    </row>
    <row r="118" spans="1:45" x14ac:dyDescent="0.45">
      <c r="A118" s="53">
        <v>44044</v>
      </c>
      <c r="B118" s="6">
        <f>'Demand Input'!H23</f>
        <v>0</v>
      </c>
      <c r="C118" s="6">
        <f>'Demand Input'!D23</f>
        <v>0</v>
      </c>
      <c r="D118" s="4" t="e">
        <f t="shared" si="23"/>
        <v>#DIV/0!</v>
      </c>
      <c r="E118" s="4"/>
      <c r="F118" s="4"/>
      <c r="I118" s="4"/>
      <c r="L118" s="4"/>
      <c r="O118" s="4"/>
      <c r="R118" s="4"/>
      <c r="U118" s="4"/>
    </row>
    <row r="119" spans="1:45" x14ac:dyDescent="0.45">
      <c r="A119" s="53">
        <v>44075</v>
      </c>
      <c r="B119" s="6">
        <f>'Demand Input'!H24</f>
        <v>50400.24</v>
      </c>
      <c r="C119" s="6">
        <f>'Demand Input'!D24</f>
        <v>38376.14</v>
      </c>
      <c r="D119" s="4">
        <f t="shared" si="23"/>
        <v>1.3133222882759965</v>
      </c>
    </row>
    <row r="120" spans="1:45" s="9" customFormat="1" x14ac:dyDescent="0.45">
      <c r="A120" s="53">
        <v>44105</v>
      </c>
      <c r="B120" s="6">
        <f>'Demand Input'!H25</f>
        <v>0</v>
      </c>
      <c r="C120" s="6">
        <f>'Demand Input'!D25</f>
        <v>0</v>
      </c>
      <c r="D120" s="4" t="e">
        <f t="shared" ref="D120:D122" si="24">B120/C120</f>
        <v>#DIV/0!</v>
      </c>
      <c r="E120" s="5"/>
      <c r="F120" s="5"/>
      <c r="I120" s="5"/>
      <c r="L120" s="5"/>
      <c r="O120" s="5"/>
      <c r="R120" s="5"/>
      <c r="U120" s="5"/>
      <c r="X120" s="58"/>
      <c r="AA120" s="58"/>
      <c r="AD120" s="58"/>
      <c r="AG120" s="58"/>
      <c r="AJ120" s="58"/>
      <c r="AM120" s="58"/>
      <c r="AP120" s="58"/>
      <c r="AS120" s="58"/>
    </row>
    <row r="121" spans="1:45" s="9" customFormat="1" x14ac:dyDescent="0.45">
      <c r="A121" s="53">
        <v>44136</v>
      </c>
      <c r="B121" s="6">
        <f>'Demand Input'!H26</f>
        <v>0</v>
      </c>
      <c r="C121" s="6">
        <f>'Demand Input'!D26</f>
        <v>0</v>
      </c>
      <c r="D121" s="4" t="e">
        <f t="shared" si="24"/>
        <v>#DIV/0!</v>
      </c>
      <c r="E121" s="5"/>
      <c r="F121" s="5"/>
      <c r="I121" s="5"/>
      <c r="L121" s="5"/>
      <c r="O121" s="5"/>
      <c r="R121" s="5"/>
      <c r="U121" s="5"/>
      <c r="X121" s="58"/>
      <c r="AA121" s="58"/>
      <c r="AD121" s="58"/>
      <c r="AG121" s="58"/>
      <c r="AJ121" s="58"/>
      <c r="AM121" s="58"/>
      <c r="AP121" s="58"/>
      <c r="AS121" s="58"/>
    </row>
    <row r="122" spans="1:45" s="9" customFormat="1" x14ac:dyDescent="0.45">
      <c r="A122" s="53">
        <v>44166</v>
      </c>
      <c r="B122" s="6">
        <f>'Demand Input'!H27</f>
        <v>30611.9</v>
      </c>
      <c r="C122" s="6">
        <f>'Demand Input'!D27</f>
        <v>24784.98</v>
      </c>
      <c r="D122" s="4">
        <f t="shared" si="24"/>
        <v>1.2350988380866155</v>
      </c>
      <c r="E122" s="5"/>
      <c r="F122" s="5"/>
      <c r="I122" s="5"/>
      <c r="L122" s="5"/>
      <c r="O122" s="5"/>
      <c r="R122" s="5"/>
      <c r="U122" s="5"/>
      <c r="X122" s="58"/>
      <c r="AA122" s="58"/>
      <c r="AD122" s="58"/>
      <c r="AG122" s="58"/>
      <c r="AJ122" s="58"/>
      <c r="AM122" s="58"/>
      <c r="AP122" s="58"/>
      <c r="AS122" s="58"/>
    </row>
    <row r="123" spans="1:45" x14ac:dyDescent="0.45">
      <c r="A123" s="53">
        <v>44197</v>
      </c>
      <c r="B123" s="6">
        <f>'Demand Input'!H28</f>
        <v>0</v>
      </c>
      <c r="C123" s="6">
        <f>'Demand Input'!D28</f>
        <v>0</v>
      </c>
      <c r="D123" s="4" t="e">
        <f t="shared" ref="D123" si="25">B123/C123</f>
        <v>#DIV/0!</v>
      </c>
    </row>
    <row r="124" spans="1:45" x14ac:dyDescent="0.45">
      <c r="A124" s="53">
        <v>44228</v>
      </c>
      <c r="B124" s="6">
        <f>'Demand Input'!H29</f>
        <v>0</v>
      </c>
      <c r="C124" s="6">
        <f>'Demand Input'!D29</f>
        <v>0</v>
      </c>
      <c r="D124" s="4" t="e">
        <f t="shared" ref="D124:D125" si="26">B124/C124</f>
        <v>#DIV/0!</v>
      </c>
    </row>
    <row r="125" spans="1:45" x14ac:dyDescent="0.45">
      <c r="A125" s="53">
        <v>44256</v>
      </c>
      <c r="B125" s="6">
        <f>'Demand Input'!H30</f>
        <v>30196.76</v>
      </c>
      <c r="C125" s="6">
        <f>'Demand Input'!D30</f>
        <v>21965.02</v>
      </c>
      <c r="D125" s="4">
        <f t="shared" si="26"/>
        <v>1.3747658777456155</v>
      </c>
    </row>
    <row r="126" spans="1:45" x14ac:dyDescent="0.45">
      <c r="A126" s="53">
        <v>44287</v>
      </c>
      <c r="B126" s="6">
        <f>'Demand Input'!H31</f>
        <v>0</v>
      </c>
      <c r="C126" s="6">
        <f>'Demand Input'!D31</f>
        <v>0</v>
      </c>
      <c r="D126" s="4" t="e">
        <f t="shared" ref="D126" si="27">B126/C126</f>
        <v>#DIV/0!</v>
      </c>
    </row>
    <row r="127" spans="1:45" x14ac:dyDescent="0.45">
      <c r="A127" t="s">
        <v>51</v>
      </c>
      <c r="B127" s="6">
        <f>'Demand Input'!H32</f>
        <v>0</v>
      </c>
      <c r="C127" s="6">
        <f>'Demand Input'!D32</f>
        <v>0</v>
      </c>
      <c r="D127" s="4" t="e">
        <f t="shared" ref="D127:D128" si="28">B127/C127</f>
        <v>#DIV/0!</v>
      </c>
    </row>
    <row r="128" spans="1:45" x14ac:dyDescent="0.45">
      <c r="A128" t="s">
        <v>52</v>
      </c>
      <c r="B128" s="6">
        <f>'Demand Input'!H33</f>
        <v>27993.9</v>
      </c>
      <c r="C128" s="6">
        <f>'Demand Input'!D33</f>
        <v>27331</v>
      </c>
      <c r="D128" s="4">
        <f t="shared" si="28"/>
        <v>1.0242545095313016</v>
      </c>
    </row>
  </sheetData>
  <mergeCells count="38">
    <mergeCell ref="AZ28:BA28"/>
    <mergeCell ref="AZ34:BA34"/>
    <mergeCell ref="B1:BA1"/>
    <mergeCell ref="B36:AX36"/>
    <mergeCell ref="A48:E48"/>
    <mergeCell ref="V34:W34"/>
    <mergeCell ref="D34:E34"/>
    <mergeCell ref="G34:H34"/>
    <mergeCell ref="J34:K34"/>
    <mergeCell ref="M34:N34"/>
    <mergeCell ref="AQ34:AR34"/>
    <mergeCell ref="AN34:AO34"/>
    <mergeCell ref="AK34:AL34"/>
    <mergeCell ref="AW34:AX34"/>
    <mergeCell ref="AW28:AX28"/>
    <mergeCell ref="AT28:AU28"/>
    <mergeCell ref="AT34:AU34"/>
    <mergeCell ref="AQ28:AR28"/>
    <mergeCell ref="AN28:AO28"/>
    <mergeCell ref="AK28:AL28"/>
    <mergeCell ref="S28:T28"/>
    <mergeCell ref="V28:W28"/>
    <mergeCell ref="B2:AI2"/>
    <mergeCell ref="Y28:Z28"/>
    <mergeCell ref="Y34:Z34"/>
    <mergeCell ref="AB28:AC28"/>
    <mergeCell ref="AB34:AC34"/>
    <mergeCell ref="P34:Q34"/>
    <mergeCell ref="S34:T34"/>
    <mergeCell ref="D28:E28"/>
    <mergeCell ref="G28:H28"/>
    <mergeCell ref="J28:K28"/>
    <mergeCell ref="M28:N28"/>
    <mergeCell ref="P28:Q28"/>
    <mergeCell ref="AE28:AF28"/>
    <mergeCell ref="AE34:AF34"/>
    <mergeCell ref="AH28:AI28"/>
    <mergeCell ref="AH34:AI34"/>
  </mergeCells>
  <phoneticPr fontId="19" type="noConversion"/>
  <pageMargins left="0.25" right="0.25" top="0.75" bottom="0.75" header="0.3" footer="0.3"/>
  <pageSetup scale="3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64"/>
  <sheetViews>
    <sheetView showGridLines="0" topLeftCell="A25" zoomScaleNormal="100" workbookViewId="0">
      <selection activeCell="K25" sqref="K25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6" t="s">
        <v>10</v>
      </c>
      <c r="B1" s="77"/>
      <c r="C1" s="77"/>
      <c r="D1" s="77"/>
      <c r="E1" s="77"/>
      <c r="F1" s="77"/>
      <c r="G1" s="77"/>
      <c r="H1" s="7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7"/>
      <c r="B2" s="77"/>
      <c r="C2" s="77"/>
      <c r="D2" s="77"/>
      <c r="E2" s="77"/>
      <c r="F2" s="77"/>
      <c r="G2" s="77"/>
      <c r="H2" s="7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7"/>
      <c r="B3" s="77"/>
      <c r="C3" s="77"/>
      <c r="D3" s="77"/>
      <c r="E3" s="77"/>
      <c r="F3" s="77"/>
      <c r="G3" s="77"/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7"/>
      <c r="B4" s="77"/>
      <c r="C4" s="77"/>
      <c r="D4" s="77"/>
      <c r="E4" s="77"/>
      <c r="F4" s="77"/>
      <c r="G4" s="77"/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80" t="str">
        <f>C7</f>
        <v>Kent County Water Authority</v>
      </c>
      <c r="B5" s="80"/>
      <c r="C5" s="80"/>
      <c r="D5" s="80"/>
      <c r="E5" s="80"/>
      <c r="F5" s="80"/>
      <c r="G5" s="80"/>
      <c r="H5" s="8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1" t="s">
        <v>39</v>
      </c>
      <c r="B6" s="81"/>
      <c r="C6" s="81"/>
      <c r="D6" s="81"/>
      <c r="E6" s="81"/>
      <c r="F6" s="81"/>
      <c r="G6" s="81"/>
      <c r="H6" s="8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2" t="s">
        <v>36</v>
      </c>
      <c r="D7" s="72"/>
      <c r="E7" s="72"/>
      <c r="F7" s="7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2" t="s">
        <v>33</v>
      </c>
      <c r="D8" s="72"/>
      <c r="E8" s="72"/>
      <c r="F8" s="72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2" t="s">
        <v>32</v>
      </c>
      <c r="D9" s="72"/>
      <c r="E9" s="72"/>
      <c r="F9" s="72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5"/>
      <c r="C11" s="75"/>
      <c r="D11" s="75"/>
      <c r="E11" s="75"/>
      <c r="F11" s="75"/>
      <c r="G11" s="75"/>
      <c r="H11" s="75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8" t="str">
        <f>"Input Customer Demand ("&amp;C8&amp;")"</f>
        <v>Input Customer Demand (Kgal)</v>
      </c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3" t="s">
        <v>7</v>
      </c>
      <c r="C14" s="73"/>
      <c r="D14" s="73"/>
      <c r="E14" s="73"/>
      <c r="F14" s="73"/>
      <c r="G14" s="73"/>
      <c r="H14" s="7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9" t="s">
        <v>55</v>
      </c>
      <c r="C15" s="79"/>
      <c r="D15" s="79"/>
      <c r="E15" s="34"/>
      <c r="F15" s="79" t="s">
        <v>56</v>
      </c>
      <c r="G15" s="79"/>
      <c r="H15" s="79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51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52</v>
      </c>
      <c r="B33" s="21">
        <f>(20681315*7.48)/1000</f>
        <v>154696.23620000001</v>
      </c>
      <c r="C33" s="21">
        <f>(6375321*7.48)/1000</f>
        <v>47687.401080000003</v>
      </c>
      <c r="D33" s="21">
        <f>27331000/1000</f>
        <v>27331</v>
      </c>
      <c r="E33" s="22"/>
      <c r="F33" s="21">
        <f>(17988793*7.48)/1000</f>
        <v>134556.17164000002</v>
      </c>
      <c r="G33" s="21">
        <f>(3407120*7.48)/1000</f>
        <v>25485.257600000001</v>
      </c>
      <c r="H33" s="21">
        <f>27993900/1000</f>
        <v>27993.9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6.75" customHeight="1" x14ac:dyDescent="0.45">
      <c r="A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2.25" customHeight="1" x14ac:dyDescent="0.45">
      <c r="A35" s="34"/>
      <c r="B35" s="74"/>
      <c r="C35" s="74"/>
      <c r="D35" s="74"/>
      <c r="E35" s="74"/>
      <c r="F35" s="74"/>
      <c r="G35" s="74"/>
      <c r="H35" s="74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6.75" customHeight="1" x14ac:dyDescent="0.45">
      <c r="A36" s="3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23.25" x14ac:dyDescent="0.7">
      <c r="A37" s="35"/>
      <c r="B37" s="78" t="str">
        <f>"Input Water Produced ("&amp;C9&amp;")"</f>
        <v>Input Water Produced (MG)</v>
      </c>
      <c r="C37" s="78"/>
      <c r="D37" s="78"/>
      <c r="E37" s="78"/>
      <c r="F37" s="78"/>
      <c r="G37" s="78"/>
      <c r="H37" s="78"/>
      <c r="I37" s="30"/>
      <c r="J37" s="30"/>
      <c r="K37" s="30"/>
      <c r="L37" s="30"/>
      <c r="M37" s="30"/>
      <c r="N37" s="30"/>
      <c r="O37" s="30"/>
      <c r="P37" s="30"/>
      <c r="Q37" s="47"/>
      <c r="R37" s="47"/>
      <c r="S37" s="5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35"/>
      <c r="B38" s="73" t="s">
        <v>9</v>
      </c>
      <c r="C38" s="73"/>
      <c r="D38" s="73"/>
      <c r="E38" s="73"/>
      <c r="F38" s="73"/>
      <c r="G38" s="73"/>
      <c r="H38" s="7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23.25" x14ac:dyDescent="0.7">
      <c r="A39" s="35"/>
      <c r="B39" s="32"/>
      <c r="C39" s="36" t="s">
        <v>0</v>
      </c>
      <c r="D39" s="37" t="s">
        <v>57</v>
      </c>
      <c r="E39" s="38"/>
      <c r="F39" s="37" t="s">
        <v>58</v>
      </c>
      <c r="G39" s="30"/>
      <c r="H39" s="37" t="s">
        <v>46</v>
      </c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45">
      <c r="A40" s="35"/>
      <c r="B40" s="32"/>
      <c r="C40" s="53">
        <v>43862</v>
      </c>
      <c r="D40" s="44">
        <v>173.84700000000001</v>
      </c>
      <c r="E40" s="45"/>
      <c r="F40" s="44">
        <v>167.53200000000001</v>
      </c>
      <c r="G40" s="30"/>
      <c r="H40" s="52">
        <f t="shared" ref="H40:H53" si="0">(F40-D40)/D40</f>
        <v>-3.6325044435624412E-2</v>
      </c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45">
      <c r="A41" s="35"/>
      <c r="B41" s="32"/>
      <c r="C41" s="53">
        <v>43891</v>
      </c>
      <c r="D41" s="44">
        <v>195.333</v>
      </c>
      <c r="E41" s="45"/>
      <c r="F41" s="44">
        <v>190.30600000000001</v>
      </c>
      <c r="G41" s="30"/>
      <c r="H41" s="52">
        <f t="shared" si="0"/>
        <v>-2.573553879784771E-2</v>
      </c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45">
      <c r="A42" s="35"/>
      <c r="B42" s="32"/>
      <c r="C42" s="53">
        <v>43922</v>
      </c>
      <c r="D42" s="44">
        <v>193.55099999999999</v>
      </c>
      <c r="E42" s="45"/>
      <c r="F42" s="44">
        <v>178.22</v>
      </c>
      <c r="G42" s="30"/>
      <c r="H42" s="52">
        <f t="shared" si="0"/>
        <v>-7.9209097343852466E-2</v>
      </c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45">
      <c r="A43" s="35"/>
      <c r="B43" s="32"/>
      <c r="C43" s="53">
        <v>43952</v>
      </c>
      <c r="D43" s="44">
        <v>228.09100000000001</v>
      </c>
      <c r="E43" s="45"/>
      <c r="F43" s="44">
        <v>240.625</v>
      </c>
      <c r="G43" s="30"/>
      <c r="H43" s="52">
        <f t="shared" si="0"/>
        <v>5.4951751713132005E-2</v>
      </c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32"/>
      <c r="C44" s="53">
        <v>43983</v>
      </c>
      <c r="D44" s="20">
        <v>257.89999999999998</v>
      </c>
      <c r="E44" s="39"/>
      <c r="F44" s="20">
        <v>348.57</v>
      </c>
      <c r="G44" s="30"/>
      <c r="H44" s="52">
        <f t="shared" si="0"/>
        <v>0.35157037611477326</v>
      </c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45">
      <c r="A45" s="35"/>
      <c r="B45" s="32"/>
      <c r="C45" s="53">
        <v>44013</v>
      </c>
      <c r="D45" s="20">
        <v>333.37</v>
      </c>
      <c r="E45" s="39"/>
      <c r="F45" s="20">
        <v>381.34</v>
      </c>
      <c r="G45" s="30"/>
      <c r="H45" s="52">
        <f t="shared" si="0"/>
        <v>0.14389417164111939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44044</v>
      </c>
      <c r="D46" s="44">
        <v>323.49</v>
      </c>
      <c r="E46" s="45"/>
      <c r="F46" s="44">
        <v>370.12</v>
      </c>
      <c r="G46" s="30"/>
      <c r="H46" s="52">
        <f t="shared" si="0"/>
        <v>0.14414665059198117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44075</v>
      </c>
      <c r="D47" s="44">
        <v>282.52999999999997</v>
      </c>
      <c r="E47" s="45"/>
      <c r="F47" s="44">
        <v>320.39</v>
      </c>
      <c r="G47" s="30"/>
      <c r="H47" s="52">
        <f t="shared" si="0"/>
        <v>0.13400346865819565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44105</v>
      </c>
      <c r="D48" s="44">
        <v>208.72</v>
      </c>
      <c r="E48" s="45"/>
      <c r="F48" s="44">
        <v>233.34</v>
      </c>
      <c r="G48" s="30"/>
      <c r="H48" s="52">
        <f t="shared" si="0"/>
        <v>0.11795707167497127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44136</v>
      </c>
      <c r="D49" s="44">
        <v>193.92</v>
      </c>
      <c r="E49" s="45"/>
      <c r="F49" s="44">
        <v>187.14</v>
      </c>
      <c r="G49" s="30"/>
      <c r="H49" s="52">
        <f t="shared" si="0"/>
        <v>-3.4962871287128723E-2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44166</v>
      </c>
      <c r="D50" s="44">
        <v>188.86</v>
      </c>
      <c r="E50" s="45"/>
      <c r="F50" s="44">
        <v>182.02</v>
      </c>
      <c r="G50" s="30"/>
      <c r="H50" s="52">
        <f t="shared" si="0"/>
        <v>-3.6217303822937641E-2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44197</v>
      </c>
      <c r="D51" s="44">
        <v>189.94</v>
      </c>
      <c r="E51" s="45"/>
      <c r="F51" s="44">
        <v>189.96</v>
      </c>
      <c r="G51" s="30"/>
      <c r="H51" s="52">
        <f t="shared" si="0"/>
        <v>1.0529640939249358E-4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44228</v>
      </c>
      <c r="D52" s="44">
        <v>173.75</v>
      </c>
      <c r="E52" s="45"/>
      <c r="F52" s="44">
        <v>178.97</v>
      </c>
      <c r="G52" s="30"/>
      <c r="H52" s="52">
        <f t="shared" si="0"/>
        <v>3.0043165467625893E-2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44256</v>
      </c>
      <c r="D53" s="44">
        <v>190.77</v>
      </c>
      <c r="E53" s="45"/>
      <c r="F53" s="44">
        <v>195.96</v>
      </c>
      <c r="G53" s="30"/>
      <c r="H53" s="52">
        <f t="shared" si="0"/>
        <v>2.7205535461550544E-2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44287</v>
      </c>
      <c r="D54" s="44">
        <v>184.23</v>
      </c>
      <c r="E54" s="45"/>
      <c r="F54" s="44">
        <v>203.05</v>
      </c>
      <c r="G54" s="30"/>
      <c r="H54" s="52">
        <f t="shared" ref="H54:H57" si="1">(F54-D54)/D54</f>
        <v>0.10215491505183751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 t="s">
        <v>51</v>
      </c>
      <c r="D55" s="44">
        <v>240.63</v>
      </c>
      <c r="E55" s="45"/>
      <c r="F55" s="44">
        <v>280.19</v>
      </c>
      <c r="G55" s="30"/>
      <c r="H55" s="52">
        <f>(F55-D55)/D55</f>
        <v>0.16440177866433944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 t="s">
        <v>52</v>
      </c>
      <c r="D56" s="44">
        <v>348.57</v>
      </c>
      <c r="E56" s="45"/>
      <c r="F56" s="44">
        <v>329.03800000000001</v>
      </c>
      <c r="G56" s="30"/>
      <c r="H56" s="52">
        <f t="shared" si="1"/>
        <v>-5.6034655879737161E-2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/>
      <c r="D57" s="20"/>
      <c r="E57" s="39"/>
      <c r="F57" s="20"/>
      <c r="G57" s="30"/>
      <c r="H57" s="52" t="e">
        <f t="shared" si="1"/>
        <v>#DIV/0!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32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32"/>
      <c r="D59" s="28" t="s">
        <v>40</v>
      </c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2"/>
      <c r="B60" s="32"/>
      <c r="C60" s="32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</sheetData>
  <mergeCells count="14">
    <mergeCell ref="C9:F9"/>
    <mergeCell ref="B38:H38"/>
    <mergeCell ref="B35:H35"/>
    <mergeCell ref="B11:H11"/>
    <mergeCell ref="A1:H4"/>
    <mergeCell ref="B37:H37"/>
    <mergeCell ref="B13:H13"/>
    <mergeCell ref="B14:H14"/>
    <mergeCell ref="F15:H15"/>
    <mergeCell ref="B15:D15"/>
    <mergeCell ref="A5:H5"/>
    <mergeCell ref="A6:H6"/>
    <mergeCell ref="C7:F7"/>
    <mergeCell ref="C8:F8"/>
  </mergeCells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Q25" sqref="Q25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28.5" customHeight="1" x14ac:dyDescent="0.7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9" ht="26.25" customHeight="1" x14ac:dyDescent="0.7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44348</v>
      </c>
      <c r="E11" s="26">
        <v>1163410.45</v>
      </c>
      <c r="G11" s="26">
        <v>424662.42</v>
      </c>
      <c r="I11" s="26">
        <v>26055</v>
      </c>
      <c r="K11" s="26">
        <f>-14010.36+122281.07</f>
        <v>108270.71</v>
      </c>
      <c r="M11" s="26">
        <f>SUM(E11:K11)</f>
        <v>1722398.5799999998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44317</v>
      </c>
      <c r="E15" s="26">
        <v>1755946.16</v>
      </c>
      <c r="G15" s="26">
        <v>244041.1</v>
      </c>
      <c r="I15" s="26">
        <v>90048.67</v>
      </c>
      <c r="K15" s="26">
        <f>-17368.6+416118.09</f>
        <v>398749.49000000005</v>
      </c>
      <c r="M15" s="26">
        <f>SUM(E15,G15,I15,K15)</f>
        <v>2488785.42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43983</v>
      </c>
      <c r="E19" s="26">
        <v>2360728</v>
      </c>
      <c r="G19" s="26">
        <v>353496</v>
      </c>
      <c r="I19" s="26">
        <v>110177</v>
      </c>
      <c r="K19" s="26">
        <v>153626</v>
      </c>
      <c r="M19" s="26">
        <f>SUM(E19:K19)</f>
        <v>2978027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43952</v>
      </c>
      <c r="E23" s="26">
        <v>1247687</v>
      </c>
      <c r="G23" s="26">
        <v>456933</v>
      </c>
      <c r="I23" s="26">
        <v>120508</v>
      </c>
      <c r="K23" s="26">
        <v>184060</v>
      </c>
      <c r="M23" s="26">
        <f>SUM(E23,G23,I23,K23)</f>
        <v>2009188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44348</v>
      </c>
      <c r="D32" s="43"/>
      <c r="E32" s="21">
        <v>2591</v>
      </c>
      <c r="F32" s="43"/>
      <c r="G32" s="26">
        <v>572225.22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44317</v>
      </c>
      <c r="D36" s="43"/>
      <c r="E36" s="21">
        <v>2056</v>
      </c>
      <c r="F36" s="43"/>
      <c r="G36" s="26">
        <v>615880.46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43983</v>
      </c>
      <c r="D40" s="25"/>
      <c r="E40" s="21">
        <v>2395</v>
      </c>
      <c r="F40" s="25"/>
      <c r="G40" s="26">
        <v>377128.67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43952</v>
      </c>
      <c r="D44" s="25"/>
      <c r="E44" s="21">
        <v>2299</v>
      </c>
      <c r="F44" s="25"/>
      <c r="G44" s="26">
        <v>409861.62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44348</v>
      </c>
      <c r="D53" s="25"/>
      <c r="E53" s="26">
        <v>1814519.68</v>
      </c>
      <c r="F53" s="25"/>
      <c r="G53" s="50">
        <v>44317</v>
      </c>
      <c r="H53" s="25"/>
      <c r="I53" s="26">
        <v>1843404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43983</v>
      </c>
      <c r="D58" s="25"/>
      <c r="E58" s="26">
        <v>1529827</v>
      </c>
      <c r="F58" s="25"/>
      <c r="G58" s="50">
        <v>43952</v>
      </c>
      <c r="H58" s="25"/>
      <c r="I58" s="26">
        <v>1465969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2021-07-15T14:56:10Z</cp:lastPrinted>
  <dcterms:created xsi:type="dcterms:W3CDTF">2020-04-08T14:34:01Z</dcterms:created>
  <dcterms:modified xsi:type="dcterms:W3CDTF">2021-07-15T16:11:02Z</dcterms:modified>
</cp:coreProperties>
</file>